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costs" sheetId="1" r:id="rId1"/>
    <sheet name="NPV" sheetId="2" r:id="rId2"/>
    <sheet name="Sheet3" sheetId="3" r:id="rId3"/>
  </sheets>
  <definedNames>
    <definedName name="_Ref183011586" localSheetId="0">'costs'!$A$1</definedName>
    <definedName name="References" localSheetId="0">'costs'!$B$41</definedName>
  </definedNames>
  <calcPr fullCalcOnLoad="1"/>
</workbook>
</file>

<file path=xl/sharedStrings.xml><?xml version="1.0" encoding="utf-8"?>
<sst xmlns="http://schemas.openxmlformats.org/spreadsheetml/2006/main" count="116" uniqueCount="64">
  <si>
    <t>S.No.</t>
  </si>
  <si>
    <t>Assessment parameter</t>
  </si>
  <si>
    <t>ASP</t>
  </si>
  <si>
    <t>TF</t>
  </si>
  <si>
    <t>WSP</t>
  </si>
  <si>
    <t>UASB+FPU</t>
  </si>
  <si>
    <t>UASB+EAS</t>
  </si>
  <si>
    <t>MBBR</t>
  </si>
  <si>
    <t>SBR</t>
  </si>
  <si>
    <t>MBR</t>
  </si>
  <si>
    <t>KT</t>
  </si>
  <si>
    <t>OD</t>
  </si>
  <si>
    <t>Capital Cost</t>
  </si>
  <si>
    <t xml:space="preserve">Civil Works Cost </t>
  </si>
  <si>
    <t>E &amp; M Works Cost</t>
  </si>
  <si>
    <t>Annual Power Cost</t>
  </si>
  <si>
    <t>Civil Works Maintenance</t>
  </si>
  <si>
    <t>E &amp; M Works Maintenance</t>
  </si>
  <si>
    <t xml:space="preserve">Total Annual O&amp;M costs, </t>
  </si>
  <si>
    <t>Annual Resource Recovery</t>
  </si>
  <si>
    <t>Biogas</t>
  </si>
  <si>
    <t>Sludge (Timber for KT)</t>
  </si>
  <si>
    <t>Effluent</t>
  </si>
  <si>
    <t>Life Cycle Cost Evaluation</t>
  </si>
  <si>
    <t>Cost of Land</t>
  </si>
  <si>
    <t>Sub Total</t>
  </si>
  <si>
    <t>Operation &amp; Maintenance Costs per annum</t>
  </si>
  <si>
    <t xml:space="preserve">Chemicals </t>
  </si>
  <si>
    <t xml:space="preserve"> Manpower Costs</t>
  </si>
  <si>
    <t xml:space="preserve">Total </t>
  </si>
  <si>
    <t xml:space="preserve"> Land Cost  (Per Ha)</t>
  </si>
  <si>
    <t xml:space="preserve">Capital Cost including Land </t>
  </si>
  <si>
    <t>Land required, Ha/MLD</t>
  </si>
  <si>
    <t xml:space="preserve"> Life Cycle Cost for different Technologies - Per mld, Amount in lacRs</t>
  </si>
  <si>
    <t>Annual Costs(O&amp;M-Resource recovery)</t>
  </si>
  <si>
    <t>Capital recovery factor</t>
  </si>
  <si>
    <t>From Wikipedia, the free encyclopedia</t>
  </si>
  <si>
    <t>Jump to: navigation, search</t>
  </si>
  <si>
    <r>
      <t xml:space="preserve">A </t>
    </r>
    <r>
      <rPr>
        <b/>
        <sz val="11"/>
        <color indexed="8"/>
        <rFont val="Calibri"/>
        <family val="2"/>
      </rPr>
      <t>capital recovery factor</t>
    </r>
    <r>
      <rPr>
        <sz val="11"/>
        <color theme="1"/>
        <rFont val="Calibri"/>
        <family val="2"/>
      </rPr>
      <t xml:space="preserve"> is the ratio of a constant annuity to the present value of receiving that annuity for a given length of time. Using an interest rate </t>
    </r>
    <r>
      <rPr>
        <i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, the capital recovery factor is:</t>
    </r>
  </si>
  <si>
    <t>where n is the number of annuities received.[1]</t>
  </si>
  <si>
    <t>This is related to the annuity formula, which gives the present value in terms of the annuity, the interest rate, and the number of annuities.</t>
  </si>
  <si>
    <r>
      <t xml:space="preserve">If </t>
    </r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= 1, the CRF reduces to 1+</t>
    </r>
    <r>
      <rPr>
        <i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 xml:space="preserve">. As </t>
    </r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goes to infinity, the CRF goes to </t>
    </r>
    <r>
      <rPr>
        <i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.</t>
    </r>
  </si>
  <si>
    <t>[edit] References</t>
  </si>
  <si>
    <r>
      <t>1. ^</t>
    </r>
    <r>
      <rPr>
        <sz val="11"/>
        <color theme="1"/>
        <rFont val="Calibri"/>
        <family val="2"/>
      </rPr>
      <t xml:space="preserve"> Calculator by Jenkins at University of California</t>
    </r>
  </si>
  <si>
    <t>Retrieved from "http://en.wikipedia.org/wiki/Capital_recovery_factor"</t>
  </si>
  <si>
    <t>Capital Recovery Factor (CRF)</t>
  </si>
  <si>
    <t>Year</t>
  </si>
  <si>
    <t>Capital</t>
  </si>
  <si>
    <t>O&amp;M</t>
  </si>
  <si>
    <t>Total</t>
  </si>
  <si>
    <t>NPV @12%</t>
  </si>
  <si>
    <t>Per mld, Amount in lacRs</t>
  </si>
  <si>
    <t>Life Cycle Cost Analysis for Different Technologies of STP</t>
  </si>
  <si>
    <t>Parameters</t>
  </si>
  <si>
    <t>LA Cost</t>
  </si>
  <si>
    <t>Total Capital Cost</t>
  </si>
  <si>
    <t>Annual O&amp;M Cost</t>
  </si>
  <si>
    <t>Total Life Cycle Cost (30 Years)</t>
  </si>
  <si>
    <t>Net Present Value @ 12% Discount</t>
  </si>
  <si>
    <t>Capital Recovery Factor, CRF (12% intrest Rate &amp; 30 years repayment period)</t>
  </si>
  <si>
    <t>Annual Capital Investment Recovery Requirement</t>
  </si>
  <si>
    <t>Annual O&amp;M Recovery Requirement</t>
  </si>
  <si>
    <t xml:space="preserve">Annual Investment+ Annual O&amp;M costs </t>
  </si>
  <si>
    <t>Results of the Life Cycle Cost Analysis for Different STP Technologies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</si>
</sst>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0.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52" applyAlignment="1" applyProtection="1">
      <alignment/>
      <protection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0" fontId="0" fillId="0" borderId="20" xfId="0" applyBorder="1" applyAlignment="1">
      <alignment wrapText="1"/>
    </xf>
    <xf numFmtId="0" fontId="0" fillId="0" borderId="0" xfId="0" applyAlignment="1">
      <alignment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34" borderId="30" xfId="0" applyNumberFormat="1" applyFill="1" applyBorder="1" applyAlignment="1">
      <alignment/>
    </xf>
    <xf numFmtId="2" fontId="0" fillId="34" borderId="31" xfId="0" applyNumberFormat="1" applyFill="1" applyBorder="1" applyAlignment="1">
      <alignment/>
    </xf>
    <xf numFmtId="2" fontId="0" fillId="34" borderId="32" xfId="0" applyNumberFormat="1" applyFill="1" applyBorder="1" applyAlignment="1">
      <alignment/>
    </xf>
    <xf numFmtId="2" fontId="0" fillId="34" borderId="33" xfId="0" applyNumberFormat="1" applyFill="1" applyBorder="1" applyAlignment="1">
      <alignment/>
    </xf>
    <xf numFmtId="2" fontId="0" fillId="34" borderId="34" xfId="0" applyNumberFormat="1" applyFill="1" applyBorder="1" applyAlignment="1">
      <alignment/>
    </xf>
    <xf numFmtId="2" fontId="0" fillId="34" borderId="35" xfId="0" applyNumberForma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vertical="center"/>
    </xf>
    <xf numFmtId="40" fontId="6" fillId="0" borderId="42" xfId="0" applyNumberFormat="1" applyFont="1" applyBorder="1" applyAlignment="1">
      <alignment vertical="center"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6" fillId="0" borderId="42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34" borderId="46" xfId="0" applyFont="1" applyFill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6" fillId="34" borderId="48" xfId="0" applyFont="1" applyFill="1" applyBorder="1" applyAlignment="1">
      <alignment vertical="center" wrapText="1"/>
    </xf>
    <xf numFmtId="0" fontId="13" fillId="0" borderId="49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5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49" xfId="0" applyFont="1" applyBorder="1" applyAlignment="1">
      <alignment/>
    </xf>
    <xf numFmtId="0" fontId="2" fillId="0" borderId="17" xfId="0" applyFont="1" applyBorder="1" applyAlignment="1">
      <alignment/>
    </xf>
    <xf numFmtId="2" fontId="4" fillId="0" borderId="51" xfId="0" applyNumberFormat="1" applyFont="1" applyFill="1" applyBorder="1" applyAlignment="1">
      <alignment horizontal="right" vertical="center" wrapText="1"/>
    </xf>
    <xf numFmtId="2" fontId="2" fillId="0" borderId="51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3" fillId="0" borderId="51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0" fontId="45" fillId="35" borderId="13" xfId="0" applyFont="1" applyFill="1" applyBorder="1" applyAlignment="1">
      <alignment horizontal="center" vertical="top" wrapText="1"/>
    </xf>
    <xf numFmtId="0" fontId="3" fillId="11" borderId="50" xfId="0" applyFont="1" applyFill="1" applyBorder="1" applyAlignment="1">
      <alignment horizontal="center" vertical="top" wrapText="1"/>
    </xf>
    <xf numFmtId="0" fontId="3" fillId="11" borderId="16" xfId="0" applyFont="1" applyFill="1" applyBorder="1" applyAlignment="1">
      <alignment horizontal="center" vertical="top" wrapText="1"/>
    </xf>
    <xf numFmtId="2" fontId="4" fillId="11" borderId="51" xfId="0" applyNumberFormat="1" applyFont="1" applyFill="1" applyBorder="1" applyAlignment="1">
      <alignment horizontal="right" vertical="center" wrapText="1"/>
    </xf>
    <xf numFmtId="2" fontId="2" fillId="11" borderId="0" xfId="0" applyNumberFormat="1" applyFont="1" applyFill="1" applyBorder="1" applyAlignment="1">
      <alignment horizontal="right" vertical="center"/>
    </xf>
    <xf numFmtId="2" fontId="13" fillId="11" borderId="0" xfId="0" applyNumberFormat="1" applyFont="1" applyFill="1" applyBorder="1" applyAlignment="1">
      <alignment horizontal="right" vertical="center"/>
    </xf>
    <xf numFmtId="2" fontId="13" fillId="11" borderId="51" xfId="0" applyNumberFormat="1" applyFont="1" applyFill="1" applyBorder="1" applyAlignment="1">
      <alignment horizontal="right" vertical="center"/>
    </xf>
    <xf numFmtId="2" fontId="2" fillId="11" borderId="51" xfId="0" applyNumberFormat="1" applyFont="1" applyFill="1" applyBorder="1" applyAlignment="1">
      <alignment horizontal="right" vertical="center"/>
    </xf>
    <xf numFmtId="2" fontId="2" fillId="11" borderId="14" xfId="0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vertical="top" wrapText="1"/>
    </xf>
    <xf numFmtId="2" fontId="4" fillId="36" borderId="51" xfId="0" applyNumberFormat="1" applyFont="1" applyFill="1" applyBorder="1" applyAlignment="1">
      <alignment horizontal="right" vertical="center" wrapText="1"/>
    </xf>
    <xf numFmtId="2" fontId="2" fillId="36" borderId="51" xfId="0" applyNumberFormat="1" applyFont="1" applyFill="1" applyBorder="1" applyAlignment="1">
      <alignment horizontal="right" vertical="center"/>
    </xf>
    <xf numFmtId="2" fontId="13" fillId="36" borderId="51" xfId="0" applyNumberFormat="1" applyFont="1" applyFill="1" applyBorder="1" applyAlignment="1">
      <alignment horizontal="right" vertical="center"/>
    </xf>
    <xf numFmtId="2" fontId="2" fillId="36" borderId="12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justify" vertical="top"/>
    </xf>
    <xf numFmtId="0" fontId="3" fillId="0" borderId="14" xfId="0" applyFont="1" applyBorder="1" applyAlignment="1">
      <alignment horizontal="justify" vertical="top"/>
    </xf>
    <xf numFmtId="0" fontId="3" fillId="0" borderId="19" xfId="0" applyFont="1" applyBorder="1" applyAlignment="1">
      <alignment horizontal="justify" vertical="top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3</xdr:col>
      <xdr:colOff>152400</xdr:colOff>
      <xdr:row>34</xdr:row>
      <xdr:rowOff>76200</xdr:rowOff>
    </xdr:to>
    <xdr:pic>
      <xdr:nvPicPr>
        <xdr:cNvPr id="1" name="Picture 1" descr=" CRF = \frac {i(1+i)^n}{(1+i)^n-1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762875"/>
          <a:ext cx="1647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11</xdr:col>
      <xdr:colOff>200025</xdr:colOff>
      <xdr:row>70</xdr:row>
      <xdr:rowOff>28575</xdr:rowOff>
    </xdr:to>
    <xdr:pic>
      <xdr:nvPicPr>
        <xdr:cNvPr id="2" name="Picture 2" descr="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1401425"/>
          <a:ext cx="51149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ite_note-0" TargetMode="External" /><Relationship Id="rId2" Type="http://schemas.openxmlformats.org/officeDocument/2006/relationships/hyperlink" Target="http://en.wikipedia.org/wiki/Annuity_formula" TargetMode="External" /><Relationship Id="rId3" Type="http://schemas.openxmlformats.org/officeDocument/2006/relationships/hyperlink" Target="http://en.wikipedia.org/w/index.php?title=Capital_recovery_factor&amp;action=edit&amp;section=1" TargetMode="External" /><Relationship Id="rId4" Type="http://schemas.openxmlformats.org/officeDocument/2006/relationships/hyperlink" Target="http://en.wikipedia.org/wiki/Capital_recovery_factor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2">
      <pane ySplit="1" topLeftCell="A3" activePane="bottomLeft" state="frozen"/>
      <selection pane="topLeft" activeCell="A2" sqref="A2"/>
      <selection pane="bottomLeft" activeCell="F6" sqref="F6"/>
    </sheetView>
  </sheetViews>
  <sheetFormatPr defaultColWidth="9.140625" defaultRowHeight="15"/>
  <cols>
    <col min="1" max="1" width="3.8515625" style="0" customWidth="1"/>
    <col min="2" max="2" width="16.140625" style="0" customWidth="1"/>
    <col min="3" max="3" width="6.28125" style="0" customWidth="1"/>
    <col min="4" max="4" width="5.421875" style="0" customWidth="1"/>
    <col min="5" max="5" width="6.28125" style="0" customWidth="1"/>
    <col min="6" max="6" width="5.8515625" style="0" customWidth="1"/>
    <col min="7" max="7" width="6.421875" style="0" customWidth="1"/>
    <col min="8" max="8" width="7.00390625" style="0" customWidth="1"/>
    <col min="9" max="9" width="6.7109375" style="0" customWidth="1"/>
    <col min="10" max="10" width="7.421875" style="0" customWidth="1"/>
    <col min="11" max="11" width="6.140625" style="0" customWidth="1"/>
    <col min="12" max="12" width="6.421875" style="0" customWidth="1"/>
  </cols>
  <sheetData>
    <row r="1" spans="1:12" ht="15.75" hidden="1" thickBot="1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6.25" thickBot="1">
      <c r="A2" s="1" t="s">
        <v>0</v>
      </c>
      <c r="B2" s="2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</row>
    <row r="3" spans="1:12" ht="15.75" thickBot="1">
      <c r="A3" s="3">
        <v>1</v>
      </c>
      <c r="B3" s="14" t="s">
        <v>12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thickBot="1">
      <c r="A4" s="6"/>
      <c r="B4" s="7" t="s">
        <v>13</v>
      </c>
      <c r="C4" s="8">
        <v>60</v>
      </c>
      <c r="D4" s="8">
        <v>56</v>
      </c>
      <c r="E4" s="8">
        <v>38</v>
      </c>
      <c r="F4" s="8">
        <v>54</v>
      </c>
      <c r="G4" s="8">
        <v>46</v>
      </c>
      <c r="H4" s="8">
        <v>36</v>
      </c>
      <c r="I4" s="8">
        <v>48</v>
      </c>
      <c r="J4" s="8">
        <v>51</v>
      </c>
      <c r="K4" s="8">
        <v>9</v>
      </c>
      <c r="L4" s="8">
        <v>37</v>
      </c>
    </row>
    <row r="5" spans="1:12" ht="15.75" thickBot="1">
      <c r="A5" s="6"/>
      <c r="B5" s="18" t="s">
        <v>14</v>
      </c>
      <c r="C5" s="19">
        <v>40</v>
      </c>
      <c r="D5" s="19">
        <v>14</v>
      </c>
      <c r="E5" s="19">
        <v>2</v>
      </c>
      <c r="F5" s="19">
        <v>29</v>
      </c>
      <c r="G5" s="19">
        <v>38</v>
      </c>
      <c r="H5" s="19">
        <v>54</v>
      </c>
      <c r="I5" s="19">
        <v>72</v>
      </c>
      <c r="J5" s="19">
        <v>120</v>
      </c>
      <c r="K5" s="19">
        <v>1</v>
      </c>
      <c r="L5" s="19">
        <v>25</v>
      </c>
    </row>
    <row r="6" spans="1:12" ht="15.75" thickBot="1">
      <c r="A6" s="17"/>
      <c r="B6" s="20" t="s">
        <v>25</v>
      </c>
      <c r="C6" s="33">
        <f>C4+C5</f>
        <v>100</v>
      </c>
      <c r="D6" s="33">
        <f aca="true" t="shared" si="0" ref="D6:L6">D4+D5</f>
        <v>70</v>
      </c>
      <c r="E6" s="33">
        <f t="shared" si="0"/>
        <v>40</v>
      </c>
      <c r="F6" s="33">
        <f t="shared" si="0"/>
        <v>83</v>
      </c>
      <c r="G6" s="33">
        <f t="shared" si="0"/>
        <v>84</v>
      </c>
      <c r="H6" s="33">
        <f t="shared" si="0"/>
        <v>90</v>
      </c>
      <c r="I6" s="33">
        <f t="shared" si="0"/>
        <v>120</v>
      </c>
      <c r="J6" s="33">
        <f t="shared" si="0"/>
        <v>171</v>
      </c>
      <c r="K6" s="33">
        <f t="shared" si="0"/>
        <v>10</v>
      </c>
      <c r="L6" s="33">
        <f t="shared" si="0"/>
        <v>62</v>
      </c>
    </row>
    <row r="7" spans="1:12" ht="15.75" thickBot="1">
      <c r="A7" s="3">
        <v>2</v>
      </c>
      <c r="B7" s="97" t="s">
        <v>26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12" ht="15.75" thickBot="1">
      <c r="A8" s="6"/>
      <c r="B8" s="7" t="s">
        <v>15</v>
      </c>
      <c r="C8" s="82">
        <v>4.24</v>
      </c>
      <c r="D8" s="82">
        <v>3.56</v>
      </c>
      <c r="E8" s="82">
        <v>0.17</v>
      </c>
      <c r="F8" s="82">
        <v>0.68</v>
      </c>
      <c r="G8" s="82">
        <v>1.51</v>
      </c>
      <c r="H8" s="82">
        <v>5.24</v>
      </c>
      <c r="I8" s="82">
        <v>4.64</v>
      </c>
      <c r="J8" s="82">
        <v>5.56</v>
      </c>
      <c r="K8" s="82">
        <v>0.13</v>
      </c>
      <c r="L8" s="82">
        <v>4.24</v>
      </c>
    </row>
    <row r="9" spans="1:12" ht="26.25" thickBot="1">
      <c r="A9" s="6"/>
      <c r="B9" s="7" t="s">
        <v>16</v>
      </c>
      <c r="C9" s="8">
        <f>C4*0.01</f>
        <v>0.6</v>
      </c>
      <c r="D9" s="8">
        <f aca="true" t="shared" si="1" ref="D9:L9">D4*0.01</f>
        <v>0.56</v>
      </c>
      <c r="E9" s="8">
        <f t="shared" si="1"/>
        <v>0.38</v>
      </c>
      <c r="F9" s="8">
        <f t="shared" si="1"/>
        <v>0.54</v>
      </c>
      <c r="G9" s="8">
        <f t="shared" si="1"/>
        <v>0.46</v>
      </c>
      <c r="H9" s="8">
        <f t="shared" si="1"/>
        <v>0.36</v>
      </c>
      <c r="I9" s="8">
        <f t="shared" si="1"/>
        <v>0.48</v>
      </c>
      <c r="J9" s="8">
        <f t="shared" si="1"/>
        <v>0.51</v>
      </c>
      <c r="K9" s="8">
        <f t="shared" si="1"/>
        <v>0.09</v>
      </c>
      <c r="L9" s="8">
        <f t="shared" si="1"/>
        <v>0.37</v>
      </c>
    </row>
    <row r="10" spans="1:12" ht="28.5" customHeight="1" thickBot="1">
      <c r="A10" s="6"/>
      <c r="B10" s="7" t="s">
        <v>17</v>
      </c>
      <c r="C10" s="8">
        <f>C5*0.03</f>
        <v>1.2</v>
      </c>
      <c r="D10" s="8">
        <f aca="true" t="shared" si="2" ref="D10:L10">D5*0.03</f>
        <v>0.42</v>
      </c>
      <c r="E10" s="8">
        <f t="shared" si="2"/>
        <v>0.06</v>
      </c>
      <c r="F10" s="8">
        <f t="shared" si="2"/>
        <v>0.87</v>
      </c>
      <c r="G10" s="8">
        <f t="shared" si="2"/>
        <v>1.14</v>
      </c>
      <c r="H10" s="8">
        <f t="shared" si="2"/>
        <v>1.6199999999999999</v>
      </c>
      <c r="I10" s="8">
        <f t="shared" si="2"/>
        <v>2.16</v>
      </c>
      <c r="J10" s="8">
        <f t="shared" si="2"/>
        <v>3.5999999999999996</v>
      </c>
      <c r="K10" s="8">
        <f t="shared" si="2"/>
        <v>0.03</v>
      </c>
      <c r="L10" s="8">
        <f t="shared" si="2"/>
        <v>0.75</v>
      </c>
    </row>
    <row r="11" spans="1:12" ht="15.75" thickBot="1">
      <c r="A11" s="3"/>
      <c r="B11" s="7" t="s">
        <v>27</v>
      </c>
      <c r="C11" s="9">
        <v>0.25</v>
      </c>
      <c r="D11" s="9">
        <v>0.5</v>
      </c>
      <c r="E11" s="9">
        <v>0.3</v>
      </c>
      <c r="F11" s="9">
        <v>0.6</v>
      </c>
      <c r="G11" s="9">
        <v>0.25</v>
      </c>
      <c r="H11" s="9">
        <v>0.6</v>
      </c>
      <c r="I11" s="9">
        <v>0.6</v>
      </c>
      <c r="J11" s="9">
        <v>0</v>
      </c>
      <c r="K11" s="9">
        <v>0</v>
      </c>
      <c r="L11" s="9">
        <v>0.5</v>
      </c>
    </row>
    <row r="12" spans="1:12" ht="15.75" thickBot="1">
      <c r="A12" s="6"/>
      <c r="B12" s="21" t="s">
        <v>28</v>
      </c>
      <c r="C12" s="8">
        <v>0.3</v>
      </c>
      <c r="D12" s="8">
        <v>0.28</v>
      </c>
      <c r="E12" s="8">
        <v>0.25</v>
      </c>
      <c r="F12" s="8">
        <v>0.3</v>
      </c>
      <c r="G12" s="8">
        <v>0.32</v>
      </c>
      <c r="H12" s="8">
        <v>0.32</v>
      </c>
      <c r="I12" s="8">
        <v>0.33</v>
      </c>
      <c r="J12" s="8">
        <v>0.34</v>
      </c>
      <c r="K12" s="8">
        <v>0.26</v>
      </c>
      <c r="L12" s="8">
        <v>0.28</v>
      </c>
    </row>
    <row r="13" spans="1:12" ht="26.25" thickBot="1">
      <c r="A13" s="3"/>
      <c r="B13" s="4" t="s">
        <v>18</v>
      </c>
      <c r="C13" s="5">
        <f>SUM(C8:C12)</f>
        <v>6.59</v>
      </c>
      <c r="D13" s="5">
        <f aca="true" t="shared" si="3" ref="D13:L13">SUM(D8:D12)</f>
        <v>5.32</v>
      </c>
      <c r="E13" s="5">
        <f t="shared" si="3"/>
        <v>1.1600000000000001</v>
      </c>
      <c r="F13" s="5">
        <f t="shared" si="3"/>
        <v>2.99</v>
      </c>
      <c r="G13" s="5">
        <f t="shared" si="3"/>
        <v>3.6799999999999997</v>
      </c>
      <c r="H13" s="5">
        <f t="shared" si="3"/>
        <v>8.14</v>
      </c>
      <c r="I13" s="5">
        <f t="shared" si="3"/>
        <v>8.209999999999999</v>
      </c>
      <c r="J13" s="5">
        <f t="shared" si="3"/>
        <v>10.009999999999998</v>
      </c>
      <c r="K13" s="5">
        <f t="shared" si="3"/>
        <v>0.51</v>
      </c>
      <c r="L13" s="5">
        <f t="shared" si="3"/>
        <v>6.140000000000001</v>
      </c>
    </row>
    <row r="14" spans="1:12" ht="16.5" customHeight="1" thickBot="1">
      <c r="A14" s="10">
        <v>3</v>
      </c>
      <c r="B14" s="102" t="s">
        <v>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4"/>
    </row>
    <row r="15" spans="1:12" ht="15.75" thickBot="1">
      <c r="A15" s="12"/>
      <c r="B15" s="13" t="s">
        <v>20</v>
      </c>
      <c r="C15" s="9">
        <v>0.17</v>
      </c>
      <c r="D15" s="9">
        <v>0.17</v>
      </c>
      <c r="E15" s="9">
        <v>0</v>
      </c>
      <c r="F15" s="8">
        <v>0.11</v>
      </c>
      <c r="G15" s="8">
        <v>0.11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26.25" thickBot="1">
      <c r="A16" s="12"/>
      <c r="B16" s="7" t="s">
        <v>21</v>
      </c>
      <c r="C16" s="8">
        <v>0.15</v>
      </c>
      <c r="D16" s="8">
        <v>0.16</v>
      </c>
      <c r="E16" s="8">
        <v>0.05</v>
      </c>
      <c r="F16" s="8">
        <v>0.13</v>
      </c>
      <c r="G16" s="8">
        <v>0.13</v>
      </c>
      <c r="H16" s="8">
        <v>0</v>
      </c>
      <c r="I16" s="8">
        <v>0.13</v>
      </c>
      <c r="J16" s="8">
        <v>0.13</v>
      </c>
      <c r="K16" s="8">
        <v>0.15</v>
      </c>
      <c r="L16" s="8">
        <v>0.13</v>
      </c>
    </row>
    <row r="17" spans="1:12" ht="15.75" thickBot="1">
      <c r="A17" s="12"/>
      <c r="B17" s="13" t="s">
        <v>22</v>
      </c>
      <c r="C17" s="9">
        <v>0.0135</v>
      </c>
      <c r="D17" s="9">
        <v>0.0135</v>
      </c>
      <c r="E17" s="9">
        <v>0.0135</v>
      </c>
      <c r="F17" s="8">
        <v>0.0135</v>
      </c>
      <c r="G17" s="8">
        <v>0.0135</v>
      </c>
      <c r="H17" s="8">
        <v>0.0135</v>
      </c>
      <c r="I17" s="8">
        <v>0.0135</v>
      </c>
      <c r="J17" s="8">
        <v>0.0135</v>
      </c>
      <c r="K17" s="8">
        <v>0</v>
      </c>
      <c r="L17" s="8">
        <v>0.0135</v>
      </c>
    </row>
    <row r="18" spans="1:12" ht="15.75" thickBot="1">
      <c r="A18" s="12"/>
      <c r="B18" s="11" t="s">
        <v>29</v>
      </c>
      <c r="C18" s="22">
        <f>SUM(C15:C17)</f>
        <v>0.3335</v>
      </c>
      <c r="D18" s="22">
        <f aca="true" t="shared" si="4" ref="D18:L18">SUM(D15:D17)</f>
        <v>0.3435</v>
      </c>
      <c r="E18" s="22">
        <f t="shared" si="4"/>
        <v>0.0635</v>
      </c>
      <c r="F18" s="22">
        <f t="shared" si="4"/>
        <v>0.2535</v>
      </c>
      <c r="G18" s="22">
        <f t="shared" si="4"/>
        <v>0.2535</v>
      </c>
      <c r="H18" s="22">
        <f t="shared" si="4"/>
        <v>0.0135</v>
      </c>
      <c r="I18" s="22">
        <f t="shared" si="4"/>
        <v>0.14350000000000002</v>
      </c>
      <c r="J18" s="22">
        <f t="shared" si="4"/>
        <v>0.14350000000000002</v>
      </c>
      <c r="K18" s="22">
        <f t="shared" si="4"/>
        <v>0.15</v>
      </c>
      <c r="L18" s="22">
        <f t="shared" si="4"/>
        <v>0.14350000000000002</v>
      </c>
    </row>
    <row r="19" spans="1:12" ht="16.5" customHeight="1" thickBot="1">
      <c r="A19" s="10">
        <v>4</v>
      </c>
      <c r="B19" s="102" t="s">
        <v>23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4"/>
    </row>
    <row r="20" spans="1:12" ht="27" thickBot="1">
      <c r="A20" s="12"/>
      <c r="B20" s="13" t="s">
        <v>30</v>
      </c>
      <c r="C20" s="8">
        <v>87</v>
      </c>
      <c r="D20" s="8">
        <v>87</v>
      </c>
      <c r="E20" s="8">
        <v>87</v>
      </c>
      <c r="F20" s="8">
        <v>87</v>
      </c>
      <c r="G20" s="8">
        <v>87</v>
      </c>
      <c r="H20" s="8">
        <v>87</v>
      </c>
      <c r="I20" s="8">
        <v>87</v>
      </c>
      <c r="J20" s="8">
        <v>87</v>
      </c>
      <c r="K20" s="8">
        <v>87</v>
      </c>
      <c r="L20" s="8">
        <v>87</v>
      </c>
    </row>
    <row r="21" spans="1:12" ht="27" thickBot="1">
      <c r="A21" s="12"/>
      <c r="B21" s="13" t="s">
        <v>32</v>
      </c>
      <c r="C21" s="23">
        <v>0.2</v>
      </c>
      <c r="D21" s="23">
        <v>0.2</v>
      </c>
      <c r="E21" s="23">
        <v>0.8</v>
      </c>
      <c r="F21" s="23">
        <v>0.185</v>
      </c>
      <c r="G21" s="23">
        <v>0.125</v>
      </c>
      <c r="H21" s="23">
        <v>0.05</v>
      </c>
      <c r="I21" s="23">
        <v>0.03</v>
      </c>
      <c r="J21" s="23">
        <v>0.08</v>
      </c>
      <c r="K21" s="23">
        <v>2</v>
      </c>
      <c r="L21" s="24">
        <v>0.22</v>
      </c>
    </row>
    <row r="22" spans="1:12" ht="15.75" thickBot="1">
      <c r="A22" s="12"/>
      <c r="B22" s="13" t="s">
        <v>24</v>
      </c>
      <c r="C22" s="32">
        <f>C20*C21</f>
        <v>17.400000000000002</v>
      </c>
      <c r="D22" s="32">
        <f>D20*D21</f>
        <v>17.400000000000002</v>
      </c>
      <c r="E22" s="32">
        <f aca="true" t="shared" si="5" ref="E22:L22">E20*E21</f>
        <v>69.60000000000001</v>
      </c>
      <c r="F22" s="32">
        <f t="shared" si="5"/>
        <v>16.095</v>
      </c>
      <c r="G22" s="32">
        <f t="shared" si="5"/>
        <v>10.875</v>
      </c>
      <c r="H22" s="32">
        <f t="shared" si="5"/>
        <v>4.3500000000000005</v>
      </c>
      <c r="I22" s="32">
        <f t="shared" si="5"/>
        <v>2.61</v>
      </c>
      <c r="J22" s="32">
        <f t="shared" si="5"/>
        <v>6.96</v>
      </c>
      <c r="K22" s="32">
        <f t="shared" si="5"/>
        <v>174</v>
      </c>
      <c r="L22" s="32">
        <f t="shared" si="5"/>
        <v>19.14</v>
      </c>
    </row>
    <row r="23" spans="1:12" ht="26.25" thickBot="1">
      <c r="A23" s="6"/>
      <c r="B23" s="7" t="s">
        <v>31</v>
      </c>
      <c r="C23" s="8">
        <f>C22+C6</f>
        <v>117.4</v>
      </c>
      <c r="D23" s="8">
        <f aca="true" t="shared" si="6" ref="D23:K23">D22+D6</f>
        <v>87.4</v>
      </c>
      <c r="E23" s="8">
        <f t="shared" si="6"/>
        <v>109.60000000000001</v>
      </c>
      <c r="F23" s="8">
        <f t="shared" si="6"/>
        <v>99.095</v>
      </c>
      <c r="G23" s="8">
        <f t="shared" si="6"/>
        <v>94.875</v>
      </c>
      <c r="H23" s="8">
        <f t="shared" si="6"/>
        <v>94.35</v>
      </c>
      <c r="I23" s="8">
        <f t="shared" si="6"/>
        <v>122.61</v>
      </c>
      <c r="J23" s="8">
        <f t="shared" si="6"/>
        <v>177.96</v>
      </c>
      <c r="K23" s="8">
        <f t="shared" si="6"/>
        <v>184</v>
      </c>
      <c r="L23" s="8">
        <f>L22+L6</f>
        <v>81.14</v>
      </c>
    </row>
    <row r="24" spans="1:12" ht="39" customHeight="1" thickBot="1">
      <c r="A24" s="6"/>
      <c r="B24" s="7" t="s">
        <v>34</v>
      </c>
      <c r="C24" s="8">
        <f>C13-C18</f>
        <v>6.2565</v>
      </c>
      <c r="D24" s="8">
        <f aca="true" t="shared" si="7" ref="D24:L24">D13-D18</f>
        <v>4.976500000000001</v>
      </c>
      <c r="E24" s="8">
        <f t="shared" si="7"/>
        <v>1.0965000000000003</v>
      </c>
      <c r="F24" s="8">
        <f t="shared" si="7"/>
        <v>2.7365000000000004</v>
      </c>
      <c r="G24" s="8">
        <f t="shared" si="7"/>
        <v>3.4265</v>
      </c>
      <c r="H24" s="8">
        <f t="shared" si="7"/>
        <v>8.1265</v>
      </c>
      <c r="I24" s="8">
        <f t="shared" si="7"/>
        <v>8.0665</v>
      </c>
      <c r="J24" s="8">
        <f t="shared" si="7"/>
        <v>9.866499999999998</v>
      </c>
      <c r="K24" s="8">
        <f t="shared" si="7"/>
        <v>0.36</v>
      </c>
      <c r="L24" s="8">
        <f t="shared" si="7"/>
        <v>5.9965</v>
      </c>
    </row>
    <row r="25" ht="31.5">
      <c r="B25" s="25" t="s">
        <v>35</v>
      </c>
    </row>
    <row r="27" ht="15">
      <c r="B27" s="26" t="s">
        <v>36</v>
      </c>
    </row>
    <row r="29" ht="15">
      <c r="B29" t="s">
        <v>37</v>
      </c>
    </row>
    <row r="31" ht="15">
      <c r="B31" t="s">
        <v>38</v>
      </c>
    </row>
    <row r="33" ht="15">
      <c r="L33">
        <f>(6%*(1+6%)^30)/((1+6%)^(30-1))</f>
        <v>0.0636</v>
      </c>
    </row>
    <row r="35" ht="15">
      <c r="B35" s="27" t="s">
        <v>39</v>
      </c>
    </row>
    <row r="37" ht="15">
      <c r="B37" s="27" t="s">
        <v>40</v>
      </c>
    </row>
    <row r="39" ht="15">
      <c r="B39" t="s">
        <v>41</v>
      </c>
    </row>
    <row r="41" ht="15">
      <c r="B41" s="27" t="s">
        <v>42</v>
      </c>
    </row>
    <row r="42" ht="15">
      <c r="B42" s="28"/>
    </row>
    <row r="43" ht="15">
      <c r="B43" s="29" t="s">
        <v>43</v>
      </c>
    </row>
    <row r="44" ht="15">
      <c r="B44" s="27" t="s">
        <v>44</v>
      </c>
    </row>
    <row r="49" ht="31.5">
      <c r="B49" s="25" t="s">
        <v>45</v>
      </c>
    </row>
    <row r="51" ht="15">
      <c r="B51" s="30"/>
    </row>
    <row r="63" ht="15">
      <c r="O63">
        <f>12%*(1+12%)^25/((1+12%)^(25-1))</f>
        <v>0.1344</v>
      </c>
    </row>
    <row r="65" ht="15">
      <c r="O65">
        <f>O63*30</f>
        <v>4.032</v>
      </c>
    </row>
  </sheetData>
  <sheetProtection/>
  <mergeCells count="4">
    <mergeCell ref="B7:L7"/>
    <mergeCell ref="A1:L1"/>
    <mergeCell ref="B14:L14"/>
    <mergeCell ref="B19:L19"/>
  </mergeCells>
  <hyperlinks>
    <hyperlink ref="B35" r:id="rId1" display="cite_note-0"/>
    <hyperlink ref="B37" r:id="rId2" tooltip="Annuity formula" display="http://en.wikipedia.org/wiki/Annuity_formula"/>
    <hyperlink ref="B41" r:id="rId3" tooltip="Edit section: References" display="http://en.wikipedia.org/w/index.php?title=Capital_recovery_factor&amp;action=edit&amp;section=1"/>
    <hyperlink ref="B44" r:id="rId4" display="http://en.wikipedia.org/wiki/Capital_recovery_factor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PageLayoutView="0" workbookViewId="0" topLeftCell="A2">
      <pane ySplit="1" topLeftCell="A3" activePane="bottomLeft" state="frozen"/>
      <selection pane="topLeft" activeCell="M2" sqref="M2"/>
      <selection pane="bottomLeft" activeCell="B54" sqref="B54"/>
    </sheetView>
  </sheetViews>
  <sheetFormatPr defaultColWidth="9.140625" defaultRowHeight="15"/>
  <cols>
    <col min="1" max="1" width="11.7109375" style="0" customWidth="1"/>
    <col min="2" max="2" width="70.140625" style="0" customWidth="1"/>
    <col min="3" max="3" width="7.28125" style="0" customWidth="1"/>
    <col min="4" max="4" width="8.7109375" style="0" customWidth="1"/>
    <col min="5" max="5" width="8.28125" style="0" customWidth="1"/>
    <col min="6" max="6" width="7.00390625" style="0" customWidth="1"/>
    <col min="7" max="7" width="7.57421875" style="0" customWidth="1"/>
    <col min="8" max="8" width="7.7109375" style="0" customWidth="1"/>
  </cols>
  <sheetData>
    <row r="1" spans="1:31" ht="19.5" hidden="1" thickBot="1">
      <c r="A1" s="52" t="s">
        <v>52</v>
      </c>
      <c r="AE1" s="50" t="s">
        <v>51</v>
      </c>
    </row>
    <row r="2" spans="1:31" s="31" customFormat="1" ht="15.75" thickBot="1">
      <c r="A2" s="108" t="s">
        <v>46</v>
      </c>
      <c r="B2" s="105" t="s">
        <v>2</v>
      </c>
      <c r="C2" s="106"/>
      <c r="D2" s="107"/>
      <c r="E2" s="110" t="s">
        <v>3</v>
      </c>
      <c r="F2" s="106"/>
      <c r="G2" s="111"/>
      <c r="H2" s="105" t="s">
        <v>4</v>
      </c>
      <c r="I2" s="106"/>
      <c r="J2" s="107"/>
      <c r="K2" s="110" t="s">
        <v>5</v>
      </c>
      <c r="L2" s="106"/>
      <c r="M2" s="111"/>
      <c r="N2" s="105" t="s">
        <v>6</v>
      </c>
      <c r="O2" s="106"/>
      <c r="P2" s="107"/>
      <c r="Q2" s="110" t="s">
        <v>7</v>
      </c>
      <c r="R2" s="106"/>
      <c r="S2" s="111"/>
      <c r="T2" s="105" t="s">
        <v>8</v>
      </c>
      <c r="U2" s="106"/>
      <c r="V2" s="107"/>
      <c r="W2" s="110" t="s">
        <v>9</v>
      </c>
      <c r="X2" s="106"/>
      <c r="Y2" s="111"/>
      <c r="Z2" s="105" t="s">
        <v>10</v>
      </c>
      <c r="AA2" s="106"/>
      <c r="AB2" s="107"/>
      <c r="AC2" s="110" t="s">
        <v>11</v>
      </c>
      <c r="AD2" s="106"/>
      <c r="AE2" s="107"/>
    </row>
    <row r="3" spans="1:31" s="31" customFormat="1" ht="15.75" thickBot="1">
      <c r="A3" s="109"/>
      <c r="B3" s="64" t="s">
        <v>47</v>
      </c>
      <c r="C3" s="65" t="s">
        <v>48</v>
      </c>
      <c r="D3" s="66" t="s">
        <v>49</v>
      </c>
      <c r="E3" s="67" t="s">
        <v>47</v>
      </c>
      <c r="F3" s="65" t="s">
        <v>48</v>
      </c>
      <c r="G3" s="68" t="s">
        <v>49</v>
      </c>
      <c r="H3" s="64" t="s">
        <v>47</v>
      </c>
      <c r="I3" s="65" t="s">
        <v>48</v>
      </c>
      <c r="J3" s="66" t="s">
        <v>49</v>
      </c>
      <c r="K3" s="67" t="s">
        <v>47</v>
      </c>
      <c r="L3" s="65" t="s">
        <v>48</v>
      </c>
      <c r="M3" s="68" t="s">
        <v>49</v>
      </c>
      <c r="N3" s="64" t="s">
        <v>47</v>
      </c>
      <c r="O3" s="65" t="s">
        <v>48</v>
      </c>
      <c r="P3" s="66" t="s">
        <v>49</v>
      </c>
      <c r="Q3" s="67" t="s">
        <v>47</v>
      </c>
      <c r="R3" s="65" t="s">
        <v>48</v>
      </c>
      <c r="S3" s="68" t="s">
        <v>49</v>
      </c>
      <c r="T3" s="64" t="s">
        <v>47</v>
      </c>
      <c r="U3" s="65" t="s">
        <v>48</v>
      </c>
      <c r="V3" s="66" t="s">
        <v>49</v>
      </c>
      <c r="W3" s="67" t="s">
        <v>47</v>
      </c>
      <c r="X3" s="65" t="s">
        <v>48</v>
      </c>
      <c r="Y3" s="68" t="s">
        <v>49</v>
      </c>
      <c r="Z3" s="64" t="s">
        <v>47</v>
      </c>
      <c r="AA3" s="65" t="s">
        <v>48</v>
      </c>
      <c r="AB3" s="66" t="s">
        <v>49</v>
      </c>
      <c r="AC3" s="67" t="s">
        <v>47</v>
      </c>
      <c r="AD3" s="65" t="s">
        <v>48</v>
      </c>
      <c r="AE3" s="66" t="s">
        <v>49</v>
      </c>
    </row>
    <row r="4" spans="1:31" ht="15">
      <c r="A4" s="36">
        <v>2010</v>
      </c>
      <c r="B4" s="62">
        <f>costs!C$6*30%+costs!C22</f>
        <v>47.400000000000006</v>
      </c>
      <c r="C4" s="35">
        <v>0</v>
      </c>
      <c r="D4" s="44">
        <f>B4+C4</f>
        <v>47.400000000000006</v>
      </c>
      <c r="E4" s="63">
        <f>costs!D$6*30%+costs!D22</f>
        <v>38.400000000000006</v>
      </c>
      <c r="F4" s="35">
        <v>0</v>
      </c>
      <c r="G4" s="47">
        <f>E4+F4</f>
        <v>38.400000000000006</v>
      </c>
      <c r="H4" s="62">
        <f>costs!E$6*30%+costs!E22</f>
        <v>81.60000000000001</v>
      </c>
      <c r="I4" s="35">
        <v>0</v>
      </c>
      <c r="J4" s="44">
        <f>H4+I4</f>
        <v>81.60000000000001</v>
      </c>
      <c r="K4" s="63">
        <f>costs!F$6*30%+costs!F22</f>
        <v>40.995</v>
      </c>
      <c r="L4" s="35">
        <v>0</v>
      </c>
      <c r="M4" s="47">
        <f>K4+L4</f>
        <v>40.995</v>
      </c>
      <c r="N4" s="62">
        <f>costs!G$6*30%+costs!G22</f>
        <v>36.075</v>
      </c>
      <c r="O4" s="35">
        <v>0</v>
      </c>
      <c r="P4" s="44">
        <f>N4+O4</f>
        <v>36.075</v>
      </c>
      <c r="Q4" s="63">
        <f>costs!H$6*30%+costs!H22</f>
        <v>31.35</v>
      </c>
      <c r="R4" s="35">
        <v>0</v>
      </c>
      <c r="S4" s="47">
        <f>Q4+R4</f>
        <v>31.35</v>
      </c>
      <c r="T4" s="62">
        <f>costs!I$6*30%+costs!I22</f>
        <v>38.61</v>
      </c>
      <c r="U4" s="35">
        <v>0</v>
      </c>
      <c r="V4" s="44">
        <f>T4+U4</f>
        <v>38.61</v>
      </c>
      <c r="W4" s="63">
        <f>costs!J$6*30%+costs!J22</f>
        <v>58.26</v>
      </c>
      <c r="X4" s="35">
        <v>0</v>
      </c>
      <c r="Y4" s="47">
        <f>W4+X4</f>
        <v>58.26</v>
      </c>
      <c r="Z4" s="62">
        <f>costs!K$6*30%+costs!K22</f>
        <v>177</v>
      </c>
      <c r="AA4" s="35">
        <v>0</v>
      </c>
      <c r="AB4" s="44">
        <f>Z4+AA4</f>
        <v>177</v>
      </c>
      <c r="AC4" s="63">
        <f>costs!L$6*30%+costs!L22</f>
        <v>37.739999999999995</v>
      </c>
      <c r="AD4" s="35">
        <v>0</v>
      </c>
      <c r="AE4" s="44">
        <f>AC4+AD4</f>
        <v>37.739999999999995</v>
      </c>
    </row>
    <row r="5" spans="1:31" ht="15">
      <c r="A5" s="37">
        <v>2011</v>
      </c>
      <c r="B5" s="39">
        <f>costs!C$6*70%</f>
        <v>70</v>
      </c>
      <c r="C5" s="34">
        <v>0</v>
      </c>
      <c r="D5" s="45">
        <f aca="true" t="shared" si="0" ref="D5:D35">B5+C5</f>
        <v>70</v>
      </c>
      <c r="E5" s="38">
        <f>costs!D$6*70%</f>
        <v>49</v>
      </c>
      <c r="F5" s="34">
        <v>0</v>
      </c>
      <c r="G5" s="48">
        <f aca="true" t="shared" si="1" ref="G5:G35">E5+F5</f>
        <v>49</v>
      </c>
      <c r="H5" s="39">
        <f>costs!E$6*70%</f>
        <v>28</v>
      </c>
      <c r="I5" s="34">
        <v>0</v>
      </c>
      <c r="J5" s="45">
        <f aca="true" t="shared" si="2" ref="J5:J35">H5+I5</f>
        <v>28</v>
      </c>
      <c r="K5" s="38">
        <f>costs!F$6*70%</f>
        <v>58.099999999999994</v>
      </c>
      <c r="L5" s="34">
        <v>0</v>
      </c>
      <c r="M5" s="48">
        <f aca="true" t="shared" si="3" ref="M5:M35">K5+L5</f>
        <v>58.099999999999994</v>
      </c>
      <c r="N5" s="39">
        <f>costs!G$6*70%</f>
        <v>58.8</v>
      </c>
      <c r="O5" s="34">
        <v>0</v>
      </c>
      <c r="P5" s="45">
        <f aca="true" t="shared" si="4" ref="P5:P35">N5+O5</f>
        <v>58.8</v>
      </c>
      <c r="Q5" s="38">
        <f>costs!H$6*70%</f>
        <v>62.99999999999999</v>
      </c>
      <c r="R5" s="34">
        <v>0</v>
      </c>
      <c r="S5" s="48">
        <f aca="true" t="shared" si="5" ref="S5:S35">Q5+R5</f>
        <v>62.99999999999999</v>
      </c>
      <c r="T5" s="39">
        <f>costs!I$6*70%</f>
        <v>84</v>
      </c>
      <c r="U5" s="34">
        <v>0</v>
      </c>
      <c r="V5" s="45">
        <f aca="true" t="shared" si="6" ref="V5:V35">T5+U5</f>
        <v>84</v>
      </c>
      <c r="W5" s="38">
        <f>costs!J$6*70%</f>
        <v>119.69999999999999</v>
      </c>
      <c r="X5" s="34">
        <v>0</v>
      </c>
      <c r="Y5" s="48">
        <f aca="true" t="shared" si="7" ref="Y5:Y35">W5+X5</f>
        <v>119.69999999999999</v>
      </c>
      <c r="Z5" s="39">
        <f>costs!K$6*70%</f>
        <v>7</v>
      </c>
      <c r="AA5" s="34">
        <v>0</v>
      </c>
      <c r="AB5" s="45">
        <f aca="true" t="shared" si="8" ref="AB5:AB35">Z5+AA5</f>
        <v>7</v>
      </c>
      <c r="AC5" s="38">
        <f>costs!L$6*70%</f>
        <v>43.4</v>
      </c>
      <c r="AD5" s="34">
        <v>0</v>
      </c>
      <c r="AE5" s="45">
        <f aca="true" t="shared" si="9" ref="AE5:AE35">AC5+AD5</f>
        <v>43.4</v>
      </c>
    </row>
    <row r="6" spans="1:31" ht="15">
      <c r="A6" s="37">
        <v>2012</v>
      </c>
      <c r="B6" s="39">
        <v>0</v>
      </c>
      <c r="C6" s="34">
        <f>costs!$C$24</f>
        <v>6.2565</v>
      </c>
      <c r="D6" s="45">
        <f t="shared" si="0"/>
        <v>6.2565</v>
      </c>
      <c r="E6" s="38">
        <v>0</v>
      </c>
      <c r="F6" s="34">
        <f>costs!$D$24</f>
        <v>4.976500000000001</v>
      </c>
      <c r="G6" s="48">
        <f t="shared" si="1"/>
        <v>4.976500000000001</v>
      </c>
      <c r="H6" s="39">
        <v>0</v>
      </c>
      <c r="I6" s="34">
        <f>costs!$E$24</f>
        <v>1.0965000000000003</v>
      </c>
      <c r="J6" s="45">
        <f t="shared" si="2"/>
        <v>1.0965000000000003</v>
      </c>
      <c r="K6" s="38">
        <v>0</v>
      </c>
      <c r="L6" s="34">
        <f>costs!$F$24</f>
        <v>2.7365000000000004</v>
      </c>
      <c r="M6" s="48">
        <f t="shared" si="3"/>
        <v>2.7365000000000004</v>
      </c>
      <c r="N6" s="39">
        <v>0</v>
      </c>
      <c r="O6" s="34">
        <f>costs!$G$24</f>
        <v>3.4265</v>
      </c>
      <c r="P6" s="45">
        <f t="shared" si="4"/>
        <v>3.4265</v>
      </c>
      <c r="Q6" s="38">
        <v>0</v>
      </c>
      <c r="R6" s="34">
        <f>costs!$H$24</f>
        <v>8.1265</v>
      </c>
      <c r="S6" s="48">
        <f t="shared" si="5"/>
        <v>8.1265</v>
      </c>
      <c r="T6" s="39">
        <v>0</v>
      </c>
      <c r="U6" s="34">
        <f>costs!$I$24</f>
        <v>8.0665</v>
      </c>
      <c r="V6" s="45">
        <f t="shared" si="6"/>
        <v>8.0665</v>
      </c>
      <c r="W6" s="38">
        <v>0</v>
      </c>
      <c r="X6" s="34">
        <f>costs!$J$24</f>
        <v>9.866499999999998</v>
      </c>
      <c r="Y6" s="48">
        <f t="shared" si="7"/>
        <v>9.866499999999998</v>
      </c>
      <c r="Z6" s="39">
        <v>0</v>
      </c>
      <c r="AA6" s="34">
        <f>costs!$K$24</f>
        <v>0.36</v>
      </c>
      <c r="AB6" s="45">
        <f t="shared" si="8"/>
        <v>0.36</v>
      </c>
      <c r="AC6" s="38">
        <v>0</v>
      </c>
      <c r="AD6" s="34">
        <f>costs!$L$24</f>
        <v>5.9965</v>
      </c>
      <c r="AE6" s="45">
        <f t="shared" si="9"/>
        <v>5.9965</v>
      </c>
    </row>
    <row r="7" spans="1:31" ht="15">
      <c r="A7" s="37">
        <v>2013</v>
      </c>
      <c r="B7" s="39">
        <v>0</v>
      </c>
      <c r="C7" s="34">
        <f>costs!$C$24</f>
        <v>6.2565</v>
      </c>
      <c r="D7" s="45">
        <f t="shared" si="0"/>
        <v>6.2565</v>
      </c>
      <c r="E7" s="38">
        <v>0</v>
      </c>
      <c r="F7" s="34">
        <f>costs!$D$24</f>
        <v>4.976500000000001</v>
      </c>
      <c r="G7" s="48">
        <f t="shared" si="1"/>
        <v>4.976500000000001</v>
      </c>
      <c r="H7" s="39">
        <v>0</v>
      </c>
      <c r="I7" s="34">
        <f>costs!$E$24</f>
        <v>1.0965000000000003</v>
      </c>
      <c r="J7" s="45">
        <f t="shared" si="2"/>
        <v>1.0965000000000003</v>
      </c>
      <c r="K7" s="38">
        <v>0</v>
      </c>
      <c r="L7" s="34">
        <f>costs!$F$24</f>
        <v>2.7365000000000004</v>
      </c>
      <c r="M7" s="48">
        <f t="shared" si="3"/>
        <v>2.7365000000000004</v>
      </c>
      <c r="N7" s="39">
        <v>0</v>
      </c>
      <c r="O7" s="34">
        <f>costs!$G$24</f>
        <v>3.4265</v>
      </c>
      <c r="P7" s="45">
        <f t="shared" si="4"/>
        <v>3.4265</v>
      </c>
      <c r="Q7" s="38">
        <v>0</v>
      </c>
      <c r="R7" s="34">
        <f>costs!$H$24</f>
        <v>8.1265</v>
      </c>
      <c r="S7" s="48">
        <f t="shared" si="5"/>
        <v>8.1265</v>
      </c>
      <c r="T7" s="39">
        <v>0</v>
      </c>
      <c r="U7" s="34">
        <f>costs!$I$24</f>
        <v>8.0665</v>
      </c>
      <c r="V7" s="45">
        <f t="shared" si="6"/>
        <v>8.0665</v>
      </c>
      <c r="W7" s="38">
        <v>0</v>
      </c>
      <c r="X7" s="34">
        <f>costs!$J$24</f>
        <v>9.866499999999998</v>
      </c>
      <c r="Y7" s="48">
        <f t="shared" si="7"/>
        <v>9.866499999999998</v>
      </c>
      <c r="Z7" s="39">
        <v>0</v>
      </c>
      <c r="AA7" s="34">
        <f>costs!$K$24</f>
        <v>0.36</v>
      </c>
      <c r="AB7" s="45">
        <f t="shared" si="8"/>
        <v>0.36</v>
      </c>
      <c r="AC7" s="38">
        <v>0</v>
      </c>
      <c r="AD7" s="34">
        <f>costs!$L$24</f>
        <v>5.9965</v>
      </c>
      <c r="AE7" s="45">
        <f t="shared" si="9"/>
        <v>5.9965</v>
      </c>
    </row>
    <row r="8" spans="1:31" ht="15">
      <c r="A8" s="37">
        <v>2014</v>
      </c>
      <c r="B8" s="39">
        <v>0</v>
      </c>
      <c r="C8" s="34">
        <f>costs!$C$24</f>
        <v>6.2565</v>
      </c>
      <c r="D8" s="45">
        <f t="shared" si="0"/>
        <v>6.2565</v>
      </c>
      <c r="E8" s="38">
        <v>0</v>
      </c>
      <c r="F8" s="34">
        <f>costs!$D$24</f>
        <v>4.976500000000001</v>
      </c>
      <c r="G8" s="48">
        <f t="shared" si="1"/>
        <v>4.976500000000001</v>
      </c>
      <c r="H8" s="39">
        <v>0</v>
      </c>
      <c r="I8" s="34">
        <f>costs!$E$24</f>
        <v>1.0965000000000003</v>
      </c>
      <c r="J8" s="45">
        <f t="shared" si="2"/>
        <v>1.0965000000000003</v>
      </c>
      <c r="K8" s="38">
        <v>0</v>
      </c>
      <c r="L8" s="34">
        <f>costs!$F$24</f>
        <v>2.7365000000000004</v>
      </c>
      <c r="M8" s="48">
        <f t="shared" si="3"/>
        <v>2.7365000000000004</v>
      </c>
      <c r="N8" s="39">
        <v>0</v>
      </c>
      <c r="O8" s="34">
        <f>costs!$G$24</f>
        <v>3.4265</v>
      </c>
      <c r="P8" s="45">
        <f t="shared" si="4"/>
        <v>3.4265</v>
      </c>
      <c r="Q8" s="38">
        <v>0</v>
      </c>
      <c r="R8" s="34">
        <f>costs!$H$24</f>
        <v>8.1265</v>
      </c>
      <c r="S8" s="48">
        <f t="shared" si="5"/>
        <v>8.1265</v>
      </c>
      <c r="T8" s="39">
        <v>0</v>
      </c>
      <c r="U8" s="34">
        <f>costs!$I$24</f>
        <v>8.0665</v>
      </c>
      <c r="V8" s="45">
        <f t="shared" si="6"/>
        <v>8.0665</v>
      </c>
      <c r="W8" s="38">
        <v>0</v>
      </c>
      <c r="X8" s="34">
        <f>costs!$J$24</f>
        <v>9.866499999999998</v>
      </c>
      <c r="Y8" s="48">
        <f t="shared" si="7"/>
        <v>9.866499999999998</v>
      </c>
      <c r="Z8" s="39">
        <v>0</v>
      </c>
      <c r="AA8" s="34">
        <f>costs!$K$24</f>
        <v>0.36</v>
      </c>
      <c r="AB8" s="45">
        <f t="shared" si="8"/>
        <v>0.36</v>
      </c>
      <c r="AC8" s="38">
        <v>0</v>
      </c>
      <c r="AD8" s="34">
        <f>costs!$L$24</f>
        <v>5.9965</v>
      </c>
      <c r="AE8" s="45">
        <f t="shared" si="9"/>
        <v>5.9965</v>
      </c>
    </row>
    <row r="9" spans="1:31" ht="15">
      <c r="A9" s="37">
        <v>2015</v>
      </c>
      <c r="B9" s="39">
        <v>0</v>
      </c>
      <c r="C9" s="34">
        <f>costs!$C$24</f>
        <v>6.2565</v>
      </c>
      <c r="D9" s="45">
        <f t="shared" si="0"/>
        <v>6.2565</v>
      </c>
      <c r="E9" s="38">
        <v>0</v>
      </c>
      <c r="F9" s="34">
        <f>costs!$D$24</f>
        <v>4.976500000000001</v>
      </c>
      <c r="G9" s="48">
        <f t="shared" si="1"/>
        <v>4.976500000000001</v>
      </c>
      <c r="H9" s="39">
        <v>0</v>
      </c>
      <c r="I9" s="34">
        <f>costs!$E$24</f>
        <v>1.0965000000000003</v>
      </c>
      <c r="J9" s="45">
        <f t="shared" si="2"/>
        <v>1.0965000000000003</v>
      </c>
      <c r="K9" s="38">
        <v>0</v>
      </c>
      <c r="L9" s="34">
        <f>costs!$F$24</f>
        <v>2.7365000000000004</v>
      </c>
      <c r="M9" s="48">
        <f t="shared" si="3"/>
        <v>2.7365000000000004</v>
      </c>
      <c r="N9" s="39">
        <v>0</v>
      </c>
      <c r="O9" s="34">
        <f>costs!$G$24</f>
        <v>3.4265</v>
      </c>
      <c r="P9" s="45">
        <f t="shared" si="4"/>
        <v>3.4265</v>
      </c>
      <c r="Q9" s="38">
        <v>0</v>
      </c>
      <c r="R9" s="34">
        <f>costs!$H$24</f>
        <v>8.1265</v>
      </c>
      <c r="S9" s="48">
        <f t="shared" si="5"/>
        <v>8.1265</v>
      </c>
      <c r="T9" s="39">
        <v>0</v>
      </c>
      <c r="U9" s="34">
        <f>costs!$I$24</f>
        <v>8.0665</v>
      </c>
      <c r="V9" s="45">
        <f t="shared" si="6"/>
        <v>8.0665</v>
      </c>
      <c r="W9" s="38">
        <v>0</v>
      </c>
      <c r="X9" s="34">
        <f>costs!$J$24</f>
        <v>9.866499999999998</v>
      </c>
      <c r="Y9" s="48">
        <f t="shared" si="7"/>
        <v>9.866499999999998</v>
      </c>
      <c r="Z9" s="39">
        <v>0</v>
      </c>
      <c r="AA9" s="34">
        <f>costs!$K$24</f>
        <v>0.36</v>
      </c>
      <c r="AB9" s="45">
        <f t="shared" si="8"/>
        <v>0.36</v>
      </c>
      <c r="AC9" s="38">
        <v>0</v>
      </c>
      <c r="AD9" s="34">
        <f>costs!$L$24</f>
        <v>5.9965</v>
      </c>
      <c r="AE9" s="45">
        <f t="shared" si="9"/>
        <v>5.9965</v>
      </c>
    </row>
    <row r="10" spans="1:31" ht="15">
      <c r="A10" s="37">
        <v>2016</v>
      </c>
      <c r="B10" s="39">
        <v>0</v>
      </c>
      <c r="C10" s="34">
        <f>costs!$C$24</f>
        <v>6.2565</v>
      </c>
      <c r="D10" s="45">
        <f t="shared" si="0"/>
        <v>6.2565</v>
      </c>
      <c r="E10" s="38">
        <v>0</v>
      </c>
      <c r="F10" s="34">
        <f>costs!$D$24</f>
        <v>4.976500000000001</v>
      </c>
      <c r="G10" s="48">
        <f t="shared" si="1"/>
        <v>4.976500000000001</v>
      </c>
      <c r="H10" s="39">
        <v>0</v>
      </c>
      <c r="I10" s="34">
        <f>costs!$E$24</f>
        <v>1.0965000000000003</v>
      </c>
      <c r="J10" s="45">
        <f t="shared" si="2"/>
        <v>1.0965000000000003</v>
      </c>
      <c r="K10" s="38">
        <v>0</v>
      </c>
      <c r="L10" s="34">
        <f>costs!$F$24</f>
        <v>2.7365000000000004</v>
      </c>
      <c r="M10" s="48">
        <f t="shared" si="3"/>
        <v>2.7365000000000004</v>
      </c>
      <c r="N10" s="39">
        <v>0</v>
      </c>
      <c r="O10" s="34">
        <f>costs!$G$24</f>
        <v>3.4265</v>
      </c>
      <c r="P10" s="45">
        <f t="shared" si="4"/>
        <v>3.4265</v>
      </c>
      <c r="Q10" s="38">
        <v>0</v>
      </c>
      <c r="R10" s="34">
        <f>costs!$H$24</f>
        <v>8.1265</v>
      </c>
      <c r="S10" s="48">
        <f t="shared" si="5"/>
        <v>8.1265</v>
      </c>
      <c r="T10" s="39">
        <v>0</v>
      </c>
      <c r="U10" s="34">
        <f>costs!$I$24</f>
        <v>8.0665</v>
      </c>
      <c r="V10" s="45">
        <f t="shared" si="6"/>
        <v>8.0665</v>
      </c>
      <c r="W10" s="38">
        <v>0</v>
      </c>
      <c r="X10" s="34">
        <f>costs!$J$24</f>
        <v>9.866499999999998</v>
      </c>
      <c r="Y10" s="48">
        <f t="shared" si="7"/>
        <v>9.866499999999998</v>
      </c>
      <c r="Z10" s="39">
        <v>0</v>
      </c>
      <c r="AA10" s="34">
        <f>costs!$K$24</f>
        <v>0.36</v>
      </c>
      <c r="AB10" s="45">
        <f t="shared" si="8"/>
        <v>0.36</v>
      </c>
      <c r="AC10" s="38">
        <v>0</v>
      </c>
      <c r="AD10" s="34">
        <f>costs!$L$24</f>
        <v>5.9965</v>
      </c>
      <c r="AE10" s="45">
        <f t="shared" si="9"/>
        <v>5.9965</v>
      </c>
    </row>
    <row r="11" spans="1:31" ht="15">
      <c r="A11" s="37">
        <v>2017</v>
      </c>
      <c r="B11" s="39">
        <v>0</v>
      </c>
      <c r="C11" s="34">
        <f>costs!$C$24</f>
        <v>6.2565</v>
      </c>
      <c r="D11" s="45">
        <f t="shared" si="0"/>
        <v>6.2565</v>
      </c>
      <c r="E11" s="38">
        <v>0</v>
      </c>
      <c r="F11" s="34">
        <f>costs!$D$24</f>
        <v>4.976500000000001</v>
      </c>
      <c r="G11" s="48">
        <f t="shared" si="1"/>
        <v>4.976500000000001</v>
      </c>
      <c r="H11" s="39">
        <v>0</v>
      </c>
      <c r="I11" s="34">
        <f>costs!$E$24</f>
        <v>1.0965000000000003</v>
      </c>
      <c r="J11" s="45">
        <f t="shared" si="2"/>
        <v>1.0965000000000003</v>
      </c>
      <c r="K11" s="38">
        <v>0</v>
      </c>
      <c r="L11" s="34">
        <f>costs!$F$24</f>
        <v>2.7365000000000004</v>
      </c>
      <c r="M11" s="48">
        <f t="shared" si="3"/>
        <v>2.7365000000000004</v>
      </c>
      <c r="N11" s="39">
        <v>0</v>
      </c>
      <c r="O11" s="34">
        <f>costs!$G$24</f>
        <v>3.4265</v>
      </c>
      <c r="P11" s="45">
        <f t="shared" si="4"/>
        <v>3.4265</v>
      </c>
      <c r="Q11" s="38">
        <v>0</v>
      </c>
      <c r="R11" s="34">
        <f>costs!$H$24</f>
        <v>8.1265</v>
      </c>
      <c r="S11" s="48">
        <f t="shared" si="5"/>
        <v>8.1265</v>
      </c>
      <c r="T11" s="39">
        <v>0</v>
      </c>
      <c r="U11" s="34">
        <f>costs!$I$24</f>
        <v>8.0665</v>
      </c>
      <c r="V11" s="45">
        <f t="shared" si="6"/>
        <v>8.0665</v>
      </c>
      <c r="W11" s="38">
        <v>0</v>
      </c>
      <c r="X11" s="34">
        <f>costs!$J$24</f>
        <v>9.866499999999998</v>
      </c>
      <c r="Y11" s="48">
        <f t="shared" si="7"/>
        <v>9.866499999999998</v>
      </c>
      <c r="Z11" s="39">
        <v>0</v>
      </c>
      <c r="AA11" s="34">
        <f>costs!$K$24</f>
        <v>0.36</v>
      </c>
      <c r="AB11" s="45">
        <f t="shared" si="8"/>
        <v>0.36</v>
      </c>
      <c r="AC11" s="38">
        <v>0</v>
      </c>
      <c r="AD11" s="34">
        <f>costs!$L$24</f>
        <v>5.9965</v>
      </c>
      <c r="AE11" s="45">
        <f t="shared" si="9"/>
        <v>5.9965</v>
      </c>
    </row>
    <row r="12" spans="1:31" ht="15">
      <c r="A12" s="37">
        <v>2018</v>
      </c>
      <c r="B12" s="39">
        <v>0</v>
      </c>
      <c r="C12" s="34">
        <f>costs!$C$24</f>
        <v>6.2565</v>
      </c>
      <c r="D12" s="45">
        <f t="shared" si="0"/>
        <v>6.2565</v>
      </c>
      <c r="E12" s="38">
        <v>0</v>
      </c>
      <c r="F12" s="34">
        <f>costs!$D$24</f>
        <v>4.976500000000001</v>
      </c>
      <c r="G12" s="48">
        <f t="shared" si="1"/>
        <v>4.976500000000001</v>
      </c>
      <c r="H12" s="39">
        <v>0</v>
      </c>
      <c r="I12" s="34">
        <f>costs!$E$24</f>
        <v>1.0965000000000003</v>
      </c>
      <c r="J12" s="45">
        <f t="shared" si="2"/>
        <v>1.0965000000000003</v>
      </c>
      <c r="K12" s="38">
        <v>0</v>
      </c>
      <c r="L12" s="34">
        <f>costs!$F$24</f>
        <v>2.7365000000000004</v>
      </c>
      <c r="M12" s="48">
        <f t="shared" si="3"/>
        <v>2.7365000000000004</v>
      </c>
      <c r="N12" s="39">
        <v>0</v>
      </c>
      <c r="O12" s="34">
        <f>costs!$G$24</f>
        <v>3.4265</v>
      </c>
      <c r="P12" s="45">
        <f t="shared" si="4"/>
        <v>3.4265</v>
      </c>
      <c r="Q12" s="38">
        <v>0</v>
      </c>
      <c r="R12" s="34">
        <f>costs!$H$24</f>
        <v>8.1265</v>
      </c>
      <c r="S12" s="48">
        <f t="shared" si="5"/>
        <v>8.1265</v>
      </c>
      <c r="T12" s="39">
        <v>0</v>
      </c>
      <c r="U12" s="34">
        <f>costs!$I$24</f>
        <v>8.0665</v>
      </c>
      <c r="V12" s="45">
        <f t="shared" si="6"/>
        <v>8.0665</v>
      </c>
      <c r="W12" s="38">
        <v>0</v>
      </c>
      <c r="X12" s="34">
        <f>costs!$J$24</f>
        <v>9.866499999999998</v>
      </c>
      <c r="Y12" s="48">
        <f t="shared" si="7"/>
        <v>9.866499999999998</v>
      </c>
      <c r="Z12" s="39">
        <v>0</v>
      </c>
      <c r="AA12" s="34">
        <f>costs!$K$24</f>
        <v>0.36</v>
      </c>
      <c r="AB12" s="45">
        <f t="shared" si="8"/>
        <v>0.36</v>
      </c>
      <c r="AC12" s="38">
        <v>0</v>
      </c>
      <c r="AD12" s="34">
        <f>costs!$L$24</f>
        <v>5.9965</v>
      </c>
      <c r="AE12" s="45">
        <f t="shared" si="9"/>
        <v>5.9965</v>
      </c>
    </row>
    <row r="13" spans="1:31" ht="15">
      <c r="A13" s="37">
        <v>2019</v>
      </c>
      <c r="B13" s="39">
        <v>0</v>
      </c>
      <c r="C13" s="34">
        <f>costs!$C$24</f>
        <v>6.2565</v>
      </c>
      <c r="D13" s="45">
        <f t="shared" si="0"/>
        <v>6.2565</v>
      </c>
      <c r="E13" s="38">
        <v>0</v>
      </c>
      <c r="F13" s="34">
        <f>costs!$D$24</f>
        <v>4.976500000000001</v>
      </c>
      <c r="G13" s="48">
        <f t="shared" si="1"/>
        <v>4.976500000000001</v>
      </c>
      <c r="H13" s="39">
        <v>0</v>
      </c>
      <c r="I13" s="34">
        <f>costs!$E$24</f>
        <v>1.0965000000000003</v>
      </c>
      <c r="J13" s="45">
        <f t="shared" si="2"/>
        <v>1.0965000000000003</v>
      </c>
      <c r="K13" s="38">
        <v>0</v>
      </c>
      <c r="L13" s="34">
        <f>costs!$F$24</f>
        <v>2.7365000000000004</v>
      </c>
      <c r="M13" s="48">
        <f t="shared" si="3"/>
        <v>2.7365000000000004</v>
      </c>
      <c r="N13" s="39">
        <v>0</v>
      </c>
      <c r="O13" s="34">
        <f>costs!$G$24</f>
        <v>3.4265</v>
      </c>
      <c r="P13" s="45">
        <f t="shared" si="4"/>
        <v>3.4265</v>
      </c>
      <c r="Q13" s="38">
        <v>0</v>
      </c>
      <c r="R13" s="34">
        <f>costs!$H$24</f>
        <v>8.1265</v>
      </c>
      <c r="S13" s="48">
        <f t="shared" si="5"/>
        <v>8.1265</v>
      </c>
      <c r="T13" s="39">
        <v>0</v>
      </c>
      <c r="U13" s="34">
        <f>costs!$I$24</f>
        <v>8.0665</v>
      </c>
      <c r="V13" s="45">
        <f t="shared" si="6"/>
        <v>8.0665</v>
      </c>
      <c r="W13" s="38">
        <v>0</v>
      </c>
      <c r="X13" s="34">
        <f>costs!$J$24</f>
        <v>9.866499999999998</v>
      </c>
      <c r="Y13" s="48">
        <f t="shared" si="7"/>
        <v>9.866499999999998</v>
      </c>
      <c r="Z13" s="39">
        <v>0</v>
      </c>
      <c r="AA13" s="34">
        <f>costs!$K$24</f>
        <v>0.36</v>
      </c>
      <c r="AB13" s="45">
        <f t="shared" si="8"/>
        <v>0.36</v>
      </c>
      <c r="AC13" s="38">
        <v>0</v>
      </c>
      <c r="AD13" s="34">
        <f>costs!$L$24</f>
        <v>5.9965</v>
      </c>
      <c r="AE13" s="45">
        <f t="shared" si="9"/>
        <v>5.9965</v>
      </c>
    </row>
    <row r="14" spans="1:31" ht="15">
      <c r="A14" s="37">
        <v>2020</v>
      </c>
      <c r="B14" s="39">
        <v>0</v>
      </c>
      <c r="C14" s="34">
        <f>costs!$C$24</f>
        <v>6.2565</v>
      </c>
      <c r="D14" s="45">
        <f t="shared" si="0"/>
        <v>6.2565</v>
      </c>
      <c r="E14" s="38">
        <v>0</v>
      </c>
      <c r="F14" s="34">
        <f>costs!$D$24</f>
        <v>4.976500000000001</v>
      </c>
      <c r="G14" s="48">
        <f t="shared" si="1"/>
        <v>4.976500000000001</v>
      </c>
      <c r="H14" s="39">
        <v>0</v>
      </c>
      <c r="I14" s="34">
        <f>costs!$E$24</f>
        <v>1.0965000000000003</v>
      </c>
      <c r="J14" s="45">
        <f t="shared" si="2"/>
        <v>1.0965000000000003</v>
      </c>
      <c r="K14" s="38">
        <v>0</v>
      </c>
      <c r="L14" s="34">
        <f>costs!$F$24</f>
        <v>2.7365000000000004</v>
      </c>
      <c r="M14" s="48">
        <f t="shared" si="3"/>
        <v>2.7365000000000004</v>
      </c>
      <c r="N14" s="39">
        <v>0</v>
      </c>
      <c r="O14" s="34">
        <f>costs!$G$24</f>
        <v>3.4265</v>
      </c>
      <c r="P14" s="45">
        <f t="shared" si="4"/>
        <v>3.4265</v>
      </c>
      <c r="Q14" s="38">
        <v>0</v>
      </c>
      <c r="R14" s="34">
        <f>costs!$H$24</f>
        <v>8.1265</v>
      </c>
      <c r="S14" s="48">
        <f t="shared" si="5"/>
        <v>8.1265</v>
      </c>
      <c r="T14" s="39">
        <v>0</v>
      </c>
      <c r="U14" s="34">
        <f>costs!$I$24</f>
        <v>8.0665</v>
      </c>
      <c r="V14" s="45">
        <f t="shared" si="6"/>
        <v>8.0665</v>
      </c>
      <c r="W14" s="38">
        <v>0</v>
      </c>
      <c r="X14" s="34">
        <f>costs!$J$24</f>
        <v>9.866499999999998</v>
      </c>
      <c r="Y14" s="48">
        <f t="shared" si="7"/>
        <v>9.866499999999998</v>
      </c>
      <c r="Z14" s="39">
        <v>0</v>
      </c>
      <c r="AA14" s="34">
        <f>costs!$K$24</f>
        <v>0.36</v>
      </c>
      <c r="AB14" s="45">
        <f t="shared" si="8"/>
        <v>0.36</v>
      </c>
      <c r="AC14" s="38">
        <v>0</v>
      </c>
      <c r="AD14" s="34">
        <f>costs!$L$24</f>
        <v>5.9965</v>
      </c>
      <c r="AE14" s="45">
        <f t="shared" si="9"/>
        <v>5.9965</v>
      </c>
    </row>
    <row r="15" spans="1:31" ht="15">
      <c r="A15" s="37">
        <v>2021</v>
      </c>
      <c r="B15" s="39">
        <v>0</v>
      </c>
      <c r="C15" s="34">
        <f>costs!$C$24</f>
        <v>6.2565</v>
      </c>
      <c r="D15" s="45">
        <f t="shared" si="0"/>
        <v>6.2565</v>
      </c>
      <c r="E15" s="38">
        <v>0</v>
      </c>
      <c r="F15" s="34">
        <f>costs!$D$24</f>
        <v>4.976500000000001</v>
      </c>
      <c r="G15" s="48">
        <f t="shared" si="1"/>
        <v>4.976500000000001</v>
      </c>
      <c r="H15" s="39">
        <v>0</v>
      </c>
      <c r="I15" s="34">
        <f>costs!$E$24</f>
        <v>1.0965000000000003</v>
      </c>
      <c r="J15" s="45">
        <f t="shared" si="2"/>
        <v>1.0965000000000003</v>
      </c>
      <c r="K15" s="38">
        <v>0</v>
      </c>
      <c r="L15" s="34">
        <f>costs!$F$24</f>
        <v>2.7365000000000004</v>
      </c>
      <c r="M15" s="48">
        <f t="shared" si="3"/>
        <v>2.7365000000000004</v>
      </c>
      <c r="N15" s="39">
        <v>0</v>
      </c>
      <c r="O15" s="34">
        <f>costs!$G$24</f>
        <v>3.4265</v>
      </c>
      <c r="P15" s="45">
        <f t="shared" si="4"/>
        <v>3.4265</v>
      </c>
      <c r="Q15" s="38">
        <v>0</v>
      </c>
      <c r="R15" s="34">
        <f>costs!$H$24</f>
        <v>8.1265</v>
      </c>
      <c r="S15" s="48">
        <f t="shared" si="5"/>
        <v>8.1265</v>
      </c>
      <c r="T15" s="39">
        <v>0</v>
      </c>
      <c r="U15" s="34">
        <f>costs!$I$24</f>
        <v>8.0665</v>
      </c>
      <c r="V15" s="45">
        <f t="shared" si="6"/>
        <v>8.0665</v>
      </c>
      <c r="W15" s="38">
        <v>0</v>
      </c>
      <c r="X15" s="34">
        <f>costs!$J$24</f>
        <v>9.866499999999998</v>
      </c>
      <c r="Y15" s="48">
        <f t="shared" si="7"/>
        <v>9.866499999999998</v>
      </c>
      <c r="Z15" s="39">
        <v>0</v>
      </c>
      <c r="AA15" s="34">
        <f>costs!$K$24</f>
        <v>0.36</v>
      </c>
      <c r="AB15" s="45">
        <f t="shared" si="8"/>
        <v>0.36</v>
      </c>
      <c r="AC15" s="38">
        <v>0</v>
      </c>
      <c r="AD15" s="34">
        <f>costs!$L$24</f>
        <v>5.9965</v>
      </c>
      <c r="AE15" s="45">
        <f t="shared" si="9"/>
        <v>5.9965</v>
      </c>
    </row>
    <row r="16" spans="1:31" ht="15">
      <c r="A16" s="37">
        <v>2022</v>
      </c>
      <c r="B16" s="39">
        <v>0</v>
      </c>
      <c r="C16" s="34">
        <f>costs!$C$24</f>
        <v>6.2565</v>
      </c>
      <c r="D16" s="45">
        <f t="shared" si="0"/>
        <v>6.2565</v>
      </c>
      <c r="E16" s="38">
        <v>0</v>
      </c>
      <c r="F16" s="34">
        <f>costs!$D$24</f>
        <v>4.976500000000001</v>
      </c>
      <c r="G16" s="48">
        <f t="shared" si="1"/>
        <v>4.976500000000001</v>
      </c>
      <c r="H16" s="39">
        <v>0</v>
      </c>
      <c r="I16" s="34">
        <f>costs!$E$24</f>
        <v>1.0965000000000003</v>
      </c>
      <c r="J16" s="45">
        <f t="shared" si="2"/>
        <v>1.0965000000000003</v>
      </c>
      <c r="K16" s="38">
        <v>0</v>
      </c>
      <c r="L16" s="34">
        <f>costs!$F$24</f>
        <v>2.7365000000000004</v>
      </c>
      <c r="M16" s="48">
        <f t="shared" si="3"/>
        <v>2.7365000000000004</v>
      </c>
      <c r="N16" s="39">
        <v>0</v>
      </c>
      <c r="O16" s="34">
        <f>costs!$G$24</f>
        <v>3.4265</v>
      </c>
      <c r="P16" s="45">
        <f t="shared" si="4"/>
        <v>3.4265</v>
      </c>
      <c r="Q16" s="38">
        <v>0</v>
      </c>
      <c r="R16" s="34">
        <f>costs!$H$24</f>
        <v>8.1265</v>
      </c>
      <c r="S16" s="48">
        <f t="shared" si="5"/>
        <v>8.1265</v>
      </c>
      <c r="T16" s="39">
        <v>0</v>
      </c>
      <c r="U16" s="34">
        <f>costs!$I$24</f>
        <v>8.0665</v>
      </c>
      <c r="V16" s="45">
        <f t="shared" si="6"/>
        <v>8.0665</v>
      </c>
      <c r="W16" s="38">
        <v>0</v>
      </c>
      <c r="X16" s="34">
        <f>costs!$J$24</f>
        <v>9.866499999999998</v>
      </c>
      <c r="Y16" s="48">
        <f t="shared" si="7"/>
        <v>9.866499999999998</v>
      </c>
      <c r="Z16" s="39">
        <v>0</v>
      </c>
      <c r="AA16" s="34">
        <f>costs!$K$24</f>
        <v>0.36</v>
      </c>
      <c r="AB16" s="45">
        <f t="shared" si="8"/>
        <v>0.36</v>
      </c>
      <c r="AC16" s="38">
        <v>0</v>
      </c>
      <c r="AD16" s="34">
        <f>costs!$L$24</f>
        <v>5.9965</v>
      </c>
      <c r="AE16" s="45">
        <f t="shared" si="9"/>
        <v>5.9965</v>
      </c>
    </row>
    <row r="17" spans="1:31" ht="15">
      <c r="A17" s="37">
        <v>2023</v>
      </c>
      <c r="B17" s="39">
        <v>0</v>
      </c>
      <c r="C17" s="34">
        <f>costs!$C$24</f>
        <v>6.2565</v>
      </c>
      <c r="D17" s="45">
        <f t="shared" si="0"/>
        <v>6.2565</v>
      </c>
      <c r="E17" s="38">
        <v>0</v>
      </c>
      <c r="F17" s="34">
        <f>costs!$D$24</f>
        <v>4.976500000000001</v>
      </c>
      <c r="G17" s="48">
        <f t="shared" si="1"/>
        <v>4.976500000000001</v>
      </c>
      <c r="H17" s="39">
        <v>0</v>
      </c>
      <c r="I17" s="34">
        <f>costs!$E$24</f>
        <v>1.0965000000000003</v>
      </c>
      <c r="J17" s="45">
        <f t="shared" si="2"/>
        <v>1.0965000000000003</v>
      </c>
      <c r="K17" s="38">
        <v>0</v>
      </c>
      <c r="L17" s="34">
        <f>costs!$F$24</f>
        <v>2.7365000000000004</v>
      </c>
      <c r="M17" s="48">
        <f t="shared" si="3"/>
        <v>2.7365000000000004</v>
      </c>
      <c r="N17" s="39">
        <v>0</v>
      </c>
      <c r="O17" s="34">
        <f>costs!$G$24</f>
        <v>3.4265</v>
      </c>
      <c r="P17" s="45">
        <f t="shared" si="4"/>
        <v>3.4265</v>
      </c>
      <c r="Q17" s="38">
        <v>0</v>
      </c>
      <c r="R17" s="34">
        <f>costs!$H$24</f>
        <v>8.1265</v>
      </c>
      <c r="S17" s="48">
        <f t="shared" si="5"/>
        <v>8.1265</v>
      </c>
      <c r="T17" s="39">
        <v>0</v>
      </c>
      <c r="U17" s="34">
        <f>costs!$I$24</f>
        <v>8.0665</v>
      </c>
      <c r="V17" s="45">
        <f t="shared" si="6"/>
        <v>8.0665</v>
      </c>
      <c r="W17" s="38">
        <v>0</v>
      </c>
      <c r="X17" s="34">
        <f>costs!$J$24</f>
        <v>9.866499999999998</v>
      </c>
      <c r="Y17" s="48">
        <f t="shared" si="7"/>
        <v>9.866499999999998</v>
      </c>
      <c r="Z17" s="39">
        <v>0</v>
      </c>
      <c r="AA17" s="34">
        <f>costs!$K$24</f>
        <v>0.36</v>
      </c>
      <c r="AB17" s="45">
        <f t="shared" si="8"/>
        <v>0.36</v>
      </c>
      <c r="AC17" s="38">
        <v>0</v>
      </c>
      <c r="AD17" s="34">
        <f>costs!$L$24</f>
        <v>5.9965</v>
      </c>
      <c r="AE17" s="45">
        <f t="shared" si="9"/>
        <v>5.9965</v>
      </c>
    </row>
    <row r="18" spans="1:31" ht="15">
      <c r="A18" s="37">
        <v>2024</v>
      </c>
      <c r="B18" s="39">
        <v>0</v>
      </c>
      <c r="C18" s="34">
        <f>costs!$C$24</f>
        <v>6.2565</v>
      </c>
      <c r="D18" s="45">
        <f t="shared" si="0"/>
        <v>6.2565</v>
      </c>
      <c r="E18" s="38">
        <v>0</v>
      </c>
      <c r="F18" s="34">
        <f>costs!$D$24</f>
        <v>4.976500000000001</v>
      </c>
      <c r="G18" s="48">
        <f t="shared" si="1"/>
        <v>4.976500000000001</v>
      </c>
      <c r="H18" s="39">
        <v>0</v>
      </c>
      <c r="I18" s="34">
        <f>costs!$E$24</f>
        <v>1.0965000000000003</v>
      </c>
      <c r="J18" s="45">
        <f t="shared" si="2"/>
        <v>1.0965000000000003</v>
      </c>
      <c r="K18" s="38">
        <v>0</v>
      </c>
      <c r="L18" s="34">
        <f>costs!$F$24</f>
        <v>2.7365000000000004</v>
      </c>
      <c r="M18" s="48">
        <f t="shared" si="3"/>
        <v>2.7365000000000004</v>
      </c>
      <c r="N18" s="39">
        <v>0</v>
      </c>
      <c r="O18" s="34">
        <f>costs!$G$24</f>
        <v>3.4265</v>
      </c>
      <c r="P18" s="45">
        <f t="shared" si="4"/>
        <v>3.4265</v>
      </c>
      <c r="Q18" s="38">
        <v>0</v>
      </c>
      <c r="R18" s="34">
        <f>costs!$H$24</f>
        <v>8.1265</v>
      </c>
      <c r="S18" s="48">
        <f t="shared" si="5"/>
        <v>8.1265</v>
      </c>
      <c r="T18" s="39">
        <v>0</v>
      </c>
      <c r="U18" s="34">
        <f>costs!$I$24</f>
        <v>8.0665</v>
      </c>
      <c r="V18" s="45">
        <f t="shared" si="6"/>
        <v>8.0665</v>
      </c>
      <c r="W18" s="38">
        <v>0</v>
      </c>
      <c r="X18" s="34">
        <f>costs!$J$24</f>
        <v>9.866499999999998</v>
      </c>
      <c r="Y18" s="48">
        <f t="shared" si="7"/>
        <v>9.866499999999998</v>
      </c>
      <c r="Z18" s="39">
        <v>0</v>
      </c>
      <c r="AA18" s="34">
        <f>costs!$K$24</f>
        <v>0.36</v>
      </c>
      <c r="AB18" s="45">
        <f t="shared" si="8"/>
        <v>0.36</v>
      </c>
      <c r="AC18" s="38">
        <v>0</v>
      </c>
      <c r="AD18" s="34">
        <f>costs!$L$24</f>
        <v>5.9965</v>
      </c>
      <c r="AE18" s="45">
        <f t="shared" si="9"/>
        <v>5.9965</v>
      </c>
    </row>
    <row r="19" spans="1:31" ht="15">
      <c r="A19" s="37">
        <v>2025</v>
      </c>
      <c r="B19" s="39">
        <v>0</v>
      </c>
      <c r="C19" s="34">
        <f>costs!$C$24</f>
        <v>6.2565</v>
      </c>
      <c r="D19" s="45">
        <f t="shared" si="0"/>
        <v>6.2565</v>
      </c>
      <c r="E19" s="38">
        <v>0</v>
      </c>
      <c r="F19" s="34">
        <f>costs!$D$24</f>
        <v>4.976500000000001</v>
      </c>
      <c r="G19" s="48">
        <f t="shared" si="1"/>
        <v>4.976500000000001</v>
      </c>
      <c r="H19" s="39">
        <v>0</v>
      </c>
      <c r="I19" s="34">
        <f>costs!$E$24</f>
        <v>1.0965000000000003</v>
      </c>
      <c r="J19" s="45">
        <f t="shared" si="2"/>
        <v>1.0965000000000003</v>
      </c>
      <c r="K19" s="38">
        <v>0</v>
      </c>
      <c r="L19" s="34">
        <f>costs!$F$24</f>
        <v>2.7365000000000004</v>
      </c>
      <c r="M19" s="48">
        <f t="shared" si="3"/>
        <v>2.7365000000000004</v>
      </c>
      <c r="N19" s="39">
        <v>0</v>
      </c>
      <c r="O19" s="34">
        <f>costs!$G$24</f>
        <v>3.4265</v>
      </c>
      <c r="P19" s="45">
        <f t="shared" si="4"/>
        <v>3.4265</v>
      </c>
      <c r="Q19" s="38">
        <v>0</v>
      </c>
      <c r="R19" s="34">
        <f>costs!$H$24</f>
        <v>8.1265</v>
      </c>
      <c r="S19" s="48">
        <f t="shared" si="5"/>
        <v>8.1265</v>
      </c>
      <c r="T19" s="39">
        <v>0</v>
      </c>
      <c r="U19" s="34">
        <f>costs!$I$24</f>
        <v>8.0665</v>
      </c>
      <c r="V19" s="45">
        <f t="shared" si="6"/>
        <v>8.0665</v>
      </c>
      <c r="W19" s="38">
        <v>0</v>
      </c>
      <c r="X19" s="34">
        <f>costs!$J$24</f>
        <v>9.866499999999998</v>
      </c>
      <c r="Y19" s="48">
        <f t="shared" si="7"/>
        <v>9.866499999999998</v>
      </c>
      <c r="Z19" s="39">
        <v>0</v>
      </c>
      <c r="AA19" s="34">
        <f>costs!$K$24</f>
        <v>0.36</v>
      </c>
      <c r="AB19" s="45">
        <f t="shared" si="8"/>
        <v>0.36</v>
      </c>
      <c r="AC19" s="38">
        <v>0</v>
      </c>
      <c r="AD19" s="34">
        <f>costs!$L$24</f>
        <v>5.9965</v>
      </c>
      <c r="AE19" s="45">
        <f t="shared" si="9"/>
        <v>5.9965</v>
      </c>
    </row>
    <row r="20" spans="1:31" ht="15">
      <c r="A20" s="37">
        <v>2026</v>
      </c>
      <c r="B20" s="39">
        <v>0</v>
      </c>
      <c r="C20" s="34">
        <f>costs!$C$24</f>
        <v>6.2565</v>
      </c>
      <c r="D20" s="45">
        <f t="shared" si="0"/>
        <v>6.2565</v>
      </c>
      <c r="E20" s="38">
        <v>0</v>
      </c>
      <c r="F20" s="34">
        <f>costs!$D$24</f>
        <v>4.976500000000001</v>
      </c>
      <c r="G20" s="48">
        <f t="shared" si="1"/>
        <v>4.976500000000001</v>
      </c>
      <c r="H20" s="39">
        <v>0</v>
      </c>
      <c r="I20" s="34">
        <f>costs!$E$24</f>
        <v>1.0965000000000003</v>
      </c>
      <c r="J20" s="45">
        <f t="shared" si="2"/>
        <v>1.0965000000000003</v>
      </c>
      <c r="K20" s="38">
        <v>0</v>
      </c>
      <c r="L20" s="34">
        <f>costs!$F$24</f>
        <v>2.7365000000000004</v>
      </c>
      <c r="M20" s="48">
        <f t="shared" si="3"/>
        <v>2.7365000000000004</v>
      </c>
      <c r="N20" s="39">
        <v>0</v>
      </c>
      <c r="O20" s="34">
        <f>costs!$G$24</f>
        <v>3.4265</v>
      </c>
      <c r="P20" s="45">
        <f t="shared" si="4"/>
        <v>3.4265</v>
      </c>
      <c r="Q20" s="38">
        <v>0</v>
      </c>
      <c r="R20" s="34">
        <f>costs!$H$24</f>
        <v>8.1265</v>
      </c>
      <c r="S20" s="48">
        <f t="shared" si="5"/>
        <v>8.1265</v>
      </c>
      <c r="T20" s="39">
        <v>0</v>
      </c>
      <c r="U20" s="34">
        <f>costs!$I$24</f>
        <v>8.0665</v>
      </c>
      <c r="V20" s="45">
        <f t="shared" si="6"/>
        <v>8.0665</v>
      </c>
      <c r="W20" s="38">
        <v>0</v>
      </c>
      <c r="X20" s="34">
        <f>costs!$J$24</f>
        <v>9.866499999999998</v>
      </c>
      <c r="Y20" s="48">
        <f t="shared" si="7"/>
        <v>9.866499999999998</v>
      </c>
      <c r="Z20" s="39">
        <v>0</v>
      </c>
      <c r="AA20" s="34">
        <f>costs!$K$24</f>
        <v>0.36</v>
      </c>
      <c r="AB20" s="45">
        <f t="shared" si="8"/>
        <v>0.36</v>
      </c>
      <c r="AC20" s="38">
        <v>0</v>
      </c>
      <c r="AD20" s="34">
        <f>costs!$L$24</f>
        <v>5.9965</v>
      </c>
      <c r="AE20" s="45">
        <f t="shared" si="9"/>
        <v>5.9965</v>
      </c>
    </row>
    <row r="21" spans="1:31" ht="15">
      <c r="A21" s="37">
        <v>2027</v>
      </c>
      <c r="B21" s="39">
        <v>0</v>
      </c>
      <c r="C21" s="34">
        <f>costs!$C$24</f>
        <v>6.2565</v>
      </c>
      <c r="D21" s="45">
        <f t="shared" si="0"/>
        <v>6.2565</v>
      </c>
      <c r="E21" s="38">
        <v>0</v>
      </c>
      <c r="F21" s="34">
        <f>costs!$D$24</f>
        <v>4.976500000000001</v>
      </c>
      <c r="G21" s="48">
        <f t="shared" si="1"/>
        <v>4.976500000000001</v>
      </c>
      <c r="H21" s="39">
        <v>0</v>
      </c>
      <c r="I21" s="34">
        <f>costs!$E$24</f>
        <v>1.0965000000000003</v>
      </c>
      <c r="J21" s="45">
        <f t="shared" si="2"/>
        <v>1.0965000000000003</v>
      </c>
      <c r="K21" s="38">
        <v>0</v>
      </c>
      <c r="L21" s="34">
        <f>costs!$F$24</f>
        <v>2.7365000000000004</v>
      </c>
      <c r="M21" s="48">
        <f t="shared" si="3"/>
        <v>2.7365000000000004</v>
      </c>
      <c r="N21" s="39">
        <v>0</v>
      </c>
      <c r="O21" s="34">
        <f>costs!$G$24</f>
        <v>3.4265</v>
      </c>
      <c r="P21" s="45">
        <f t="shared" si="4"/>
        <v>3.4265</v>
      </c>
      <c r="Q21" s="38">
        <v>0</v>
      </c>
      <c r="R21" s="34">
        <f>costs!$H$24</f>
        <v>8.1265</v>
      </c>
      <c r="S21" s="48">
        <f t="shared" si="5"/>
        <v>8.1265</v>
      </c>
      <c r="T21" s="39">
        <v>0</v>
      </c>
      <c r="U21" s="34">
        <f>costs!$I$24</f>
        <v>8.0665</v>
      </c>
      <c r="V21" s="45">
        <f t="shared" si="6"/>
        <v>8.0665</v>
      </c>
      <c r="W21" s="38">
        <v>0</v>
      </c>
      <c r="X21" s="34">
        <f>costs!$J$24</f>
        <v>9.866499999999998</v>
      </c>
      <c r="Y21" s="48">
        <f t="shared" si="7"/>
        <v>9.866499999999998</v>
      </c>
      <c r="Z21" s="39">
        <v>0</v>
      </c>
      <c r="AA21" s="34">
        <f>costs!$K$24</f>
        <v>0.36</v>
      </c>
      <c r="AB21" s="45">
        <f t="shared" si="8"/>
        <v>0.36</v>
      </c>
      <c r="AC21" s="38">
        <v>0</v>
      </c>
      <c r="AD21" s="34">
        <f>costs!$L$24</f>
        <v>5.9965</v>
      </c>
      <c r="AE21" s="45">
        <f t="shared" si="9"/>
        <v>5.9965</v>
      </c>
    </row>
    <row r="22" spans="1:31" ht="15">
      <c r="A22" s="37">
        <v>2028</v>
      </c>
      <c r="B22" s="39">
        <v>0</v>
      </c>
      <c r="C22" s="34">
        <f>costs!$C$24</f>
        <v>6.2565</v>
      </c>
      <c r="D22" s="45">
        <f t="shared" si="0"/>
        <v>6.2565</v>
      </c>
      <c r="E22" s="38">
        <v>0</v>
      </c>
      <c r="F22" s="34">
        <f>costs!$D$24</f>
        <v>4.976500000000001</v>
      </c>
      <c r="G22" s="48">
        <f t="shared" si="1"/>
        <v>4.976500000000001</v>
      </c>
      <c r="H22" s="39">
        <v>0</v>
      </c>
      <c r="I22" s="34">
        <f>costs!$E$24</f>
        <v>1.0965000000000003</v>
      </c>
      <c r="J22" s="45">
        <f t="shared" si="2"/>
        <v>1.0965000000000003</v>
      </c>
      <c r="K22" s="38">
        <v>0</v>
      </c>
      <c r="L22" s="34">
        <f>costs!$F$24</f>
        <v>2.7365000000000004</v>
      </c>
      <c r="M22" s="48">
        <f t="shared" si="3"/>
        <v>2.7365000000000004</v>
      </c>
      <c r="N22" s="39">
        <v>0</v>
      </c>
      <c r="O22" s="34">
        <f>costs!$G$24</f>
        <v>3.4265</v>
      </c>
      <c r="P22" s="45">
        <f t="shared" si="4"/>
        <v>3.4265</v>
      </c>
      <c r="Q22" s="38">
        <v>0</v>
      </c>
      <c r="R22" s="34">
        <f>costs!$H$24</f>
        <v>8.1265</v>
      </c>
      <c r="S22" s="48">
        <f t="shared" si="5"/>
        <v>8.1265</v>
      </c>
      <c r="T22" s="39">
        <v>0</v>
      </c>
      <c r="U22" s="34">
        <f>costs!$I$24</f>
        <v>8.0665</v>
      </c>
      <c r="V22" s="45">
        <f t="shared" si="6"/>
        <v>8.0665</v>
      </c>
      <c r="W22" s="38">
        <v>0</v>
      </c>
      <c r="X22" s="34">
        <f>costs!$J$24</f>
        <v>9.866499999999998</v>
      </c>
      <c r="Y22" s="48">
        <f t="shared" si="7"/>
        <v>9.866499999999998</v>
      </c>
      <c r="Z22" s="39">
        <v>0</v>
      </c>
      <c r="AA22" s="34">
        <f>costs!$K$24</f>
        <v>0.36</v>
      </c>
      <c r="AB22" s="45">
        <f t="shared" si="8"/>
        <v>0.36</v>
      </c>
      <c r="AC22" s="38">
        <v>0</v>
      </c>
      <c r="AD22" s="34">
        <f>costs!$L$24</f>
        <v>5.9965</v>
      </c>
      <c r="AE22" s="45">
        <f t="shared" si="9"/>
        <v>5.9965</v>
      </c>
    </row>
    <row r="23" spans="1:31" ht="15">
      <c r="A23" s="37">
        <v>2029</v>
      </c>
      <c r="B23" s="39">
        <v>0</v>
      </c>
      <c r="C23" s="34">
        <f>costs!$C$24</f>
        <v>6.2565</v>
      </c>
      <c r="D23" s="45">
        <f t="shared" si="0"/>
        <v>6.2565</v>
      </c>
      <c r="E23" s="38">
        <v>0</v>
      </c>
      <c r="F23" s="34">
        <f>costs!$D$24</f>
        <v>4.976500000000001</v>
      </c>
      <c r="G23" s="48">
        <f t="shared" si="1"/>
        <v>4.976500000000001</v>
      </c>
      <c r="H23" s="39">
        <v>0</v>
      </c>
      <c r="I23" s="34">
        <f>costs!$E$24</f>
        <v>1.0965000000000003</v>
      </c>
      <c r="J23" s="45">
        <f t="shared" si="2"/>
        <v>1.0965000000000003</v>
      </c>
      <c r="K23" s="38">
        <v>0</v>
      </c>
      <c r="L23" s="34">
        <f>costs!$F$24</f>
        <v>2.7365000000000004</v>
      </c>
      <c r="M23" s="48">
        <f t="shared" si="3"/>
        <v>2.7365000000000004</v>
      </c>
      <c r="N23" s="39">
        <v>0</v>
      </c>
      <c r="O23" s="34">
        <f>costs!$G$24</f>
        <v>3.4265</v>
      </c>
      <c r="P23" s="45">
        <f t="shared" si="4"/>
        <v>3.4265</v>
      </c>
      <c r="Q23" s="38">
        <v>0</v>
      </c>
      <c r="R23" s="34">
        <f>costs!$H$24</f>
        <v>8.1265</v>
      </c>
      <c r="S23" s="48">
        <f t="shared" si="5"/>
        <v>8.1265</v>
      </c>
      <c r="T23" s="39">
        <v>0</v>
      </c>
      <c r="U23" s="34">
        <f>costs!$I$24</f>
        <v>8.0665</v>
      </c>
      <c r="V23" s="45">
        <f t="shared" si="6"/>
        <v>8.0665</v>
      </c>
      <c r="W23" s="38">
        <v>0</v>
      </c>
      <c r="X23" s="34">
        <f>costs!$J$24</f>
        <v>9.866499999999998</v>
      </c>
      <c r="Y23" s="48">
        <f t="shared" si="7"/>
        <v>9.866499999999998</v>
      </c>
      <c r="Z23" s="39">
        <v>0</v>
      </c>
      <c r="AA23" s="34">
        <f>costs!$K$24</f>
        <v>0.36</v>
      </c>
      <c r="AB23" s="45">
        <f t="shared" si="8"/>
        <v>0.36</v>
      </c>
      <c r="AC23" s="38">
        <v>0</v>
      </c>
      <c r="AD23" s="34">
        <f>costs!$L$24</f>
        <v>5.9965</v>
      </c>
      <c r="AE23" s="45">
        <f t="shared" si="9"/>
        <v>5.9965</v>
      </c>
    </row>
    <row r="24" spans="1:31" ht="15">
      <c r="A24" s="37">
        <v>2030</v>
      </c>
      <c r="B24" s="39">
        <v>0</v>
      </c>
      <c r="C24" s="34">
        <f>costs!$C$24</f>
        <v>6.2565</v>
      </c>
      <c r="D24" s="45">
        <f t="shared" si="0"/>
        <v>6.2565</v>
      </c>
      <c r="E24" s="38">
        <v>0</v>
      </c>
      <c r="F24" s="34">
        <f>costs!$D$24</f>
        <v>4.976500000000001</v>
      </c>
      <c r="G24" s="48">
        <f t="shared" si="1"/>
        <v>4.976500000000001</v>
      </c>
      <c r="H24" s="39">
        <v>0</v>
      </c>
      <c r="I24" s="34">
        <f>costs!$E$24</f>
        <v>1.0965000000000003</v>
      </c>
      <c r="J24" s="45">
        <f t="shared" si="2"/>
        <v>1.0965000000000003</v>
      </c>
      <c r="K24" s="38">
        <v>0</v>
      </c>
      <c r="L24" s="34">
        <f>costs!$F$24</f>
        <v>2.7365000000000004</v>
      </c>
      <c r="M24" s="48">
        <f t="shared" si="3"/>
        <v>2.7365000000000004</v>
      </c>
      <c r="N24" s="39">
        <v>0</v>
      </c>
      <c r="O24" s="34">
        <f>costs!$G$24</f>
        <v>3.4265</v>
      </c>
      <c r="P24" s="45">
        <f t="shared" si="4"/>
        <v>3.4265</v>
      </c>
      <c r="Q24" s="38">
        <v>0</v>
      </c>
      <c r="R24" s="34">
        <f>costs!$H$24</f>
        <v>8.1265</v>
      </c>
      <c r="S24" s="48">
        <f t="shared" si="5"/>
        <v>8.1265</v>
      </c>
      <c r="T24" s="39">
        <v>0</v>
      </c>
      <c r="U24" s="34">
        <f>costs!$I$24</f>
        <v>8.0665</v>
      </c>
      <c r="V24" s="45">
        <f t="shared" si="6"/>
        <v>8.0665</v>
      </c>
      <c r="W24" s="38">
        <v>0</v>
      </c>
      <c r="X24" s="34">
        <f>costs!$J$24</f>
        <v>9.866499999999998</v>
      </c>
      <c r="Y24" s="48">
        <f t="shared" si="7"/>
        <v>9.866499999999998</v>
      </c>
      <c r="Z24" s="39">
        <v>0</v>
      </c>
      <c r="AA24" s="34">
        <f>costs!$K$24</f>
        <v>0.36</v>
      </c>
      <c r="AB24" s="45">
        <f t="shared" si="8"/>
        <v>0.36</v>
      </c>
      <c r="AC24" s="38">
        <v>0</v>
      </c>
      <c r="AD24" s="34">
        <f>costs!$L$24</f>
        <v>5.9965</v>
      </c>
      <c r="AE24" s="45">
        <f t="shared" si="9"/>
        <v>5.9965</v>
      </c>
    </row>
    <row r="25" spans="1:31" ht="15">
      <c r="A25" s="37">
        <v>2031</v>
      </c>
      <c r="B25" s="39">
        <v>0</v>
      </c>
      <c r="C25" s="34">
        <f>costs!$C$24</f>
        <v>6.2565</v>
      </c>
      <c r="D25" s="45">
        <f t="shared" si="0"/>
        <v>6.2565</v>
      </c>
      <c r="E25" s="38">
        <v>0</v>
      </c>
      <c r="F25" s="34">
        <f>costs!$D$24</f>
        <v>4.976500000000001</v>
      </c>
      <c r="G25" s="48">
        <f t="shared" si="1"/>
        <v>4.976500000000001</v>
      </c>
      <c r="H25" s="39">
        <v>0</v>
      </c>
      <c r="I25" s="34">
        <f>costs!$E$24</f>
        <v>1.0965000000000003</v>
      </c>
      <c r="J25" s="45">
        <f t="shared" si="2"/>
        <v>1.0965000000000003</v>
      </c>
      <c r="K25" s="38">
        <v>0</v>
      </c>
      <c r="L25" s="34">
        <f>costs!$F$24</f>
        <v>2.7365000000000004</v>
      </c>
      <c r="M25" s="48">
        <f t="shared" si="3"/>
        <v>2.7365000000000004</v>
      </c>
      <c r="N25" s="39">
        <v>0</v>
      </c>
      <c r="O25" s="34">
        <f>costs!$G$24</f>
        <v>3.4265</v>
      </c>
      <c r="P25" s="45">
        <f t="shared" si="4"/>
        <v>3.4265</v>
      </c>
      <c r="Q25" s="38">
        <v>0</v>
      </c>
      <c r="R25" s="34">
        <f>costs!$H$24</f>
        <v>8.1265</v>
      </c>
      <c r="S25" s="48">
        <f t="shared" si="5"/>
        <v>8.1265</v>
      </c>
      <c r="T25" s="39">
        <v>0</v>
      </c>
      <c r="U25" s="34">
        <f>costs!$I$24</f>
        <v>8.0665</v>
      </c>
      <c r="V25" s="45">
        <f t="shared" si="6"/>
        <v>8.0665</v>
      </c>
      <c r="W25" s="38">
        <v>0</v>
      </c>
      <c r="X25" s="34">
        <f>costs!$J$24</f>
        <v>9.866499999999998</v>
      </c>
      <c r="Y25" s="48">
        <f t="shared" si="7"/>
        <v>9.866499999999998</v>
      </c>
      <c r="Z25" s="39">
        <v>0</v>
      </c>
      <c r="AA25" s="34">
        <f>costs!$K$24</f>
        <v>0.36</v>
      </c>
      <c r="AB25" s="45">
        <f t="shared" si="8"/>
        <v>0.36</v>
      </c>
      <c r="AC25" s="38">
        <v>0</v>
      </c>
      <c r="AD25" s="34">
        <f>costs!$L$24</f>
        <v>5.9965</v>
      </c>
      <c r="AE25" s="45">
        <f t="shared" si="9"/>
        <v>5.9965</v>
      </c>
    </row>
    <row r="26" spans="1:31" ht="15">
      <c r="A26" s="37">
        <v>2032</v>
      </c>
      <c r="B26" s="39">
        <v>0</v>
      </c>
      <c r="C26" s="34">
        <f>costs!$C$24</f>
        <v>6.2565</v>
      </c>
      <c r="D26" s="45">
        <f t="shared" si="0"/>
        <v>6.2565</v>
      </c>
      <c r="E26" s="38">
        <v>0</v>
      </c>
      <c r="F26" s="34">
        <f>costs!$D$24</f>
        <v>4.976500000000001</v>
      </c>
      <c r="G26" s="48">
        <f t="shared" si="1"/>
        <v>4.976500000000001</v>
      </c>
      <c r="H26" s="39">
        <v>0</v>
      </c>
      <c r="I26" s="34">
        <f>costs!$E$24</f>
        <v>1.0965000000000003</v>
      </c>
      <c r="J26" s="45">
        <f t="shared" si="2"/>
        <v>1.0965000000000003</v>
      </c>
      <c r="K26" s="38">
        <v>0</v>
      </c>
      <c r="L26" s="34">
        <f>costs!$F$24</f>
        <v>2.7365000000000004</v>
      </c>
      <c r="M26" s="48">
        <f t="shared" si="3"/>
        <v>2.7365000000000004</v>
      </c>
      <c r="N26" s="39">
        <v>0</v>
      </c>
      <c r="O26" s="34">
        <f>costs!$G$24</f>
        <v>3.4265</v>
      </c>
      <c r="P26" s="45">
        <f t="shared" si="4"/>
        <v>3.4265</v>
      </c>
      <c r="Q26" s="38">
        <v>0</v>
      </c>
      <c r="R26" s="34">
        <f>costs!$H$24</f>
        <v>8.1265</v>
      </c>
      <c r="S26" s="48">
        <f t="shared" si="5"/>
        <v>8.1265</v>
      </c>
      <c r="T26" s="39">
        <v>0</v>
      </c>
      <c r="U26" s="34">
        <f>costs!$I$24</f>
        <v>8.0665</v>
      </c>
      <c r="V26" s="45">
        <f t="shared" si="6"/>
        <v>8.0665</v>
      </c>
      <c r="W26" s="38">
        <v>0</v>
      </c>
      <c r="X26" s="34">
        <f>costs!$J$24</f>
        <v>9.866499999999998</v>
      </c>
      <c r="Y26" s="48">
        <f t="shared" si="7"/>
        <v>9.866499999999998</v>
      </c>
      <c r="Z26" s="39">
        <v>0</v>
      </c>
      <c r="AA26" s="34">
        <f>costs!$K$24</f>
        <v>0.36</v>
      </c>
      <c r="AB26" s="45">
        <f t="shared" si="8"/>
        <v>0.36</v>
      </c>
      <c r="AC26" s="38">
        <v>0</v>
      </c>
      <c r="AD26" s="34">
        <f>costs!$L$24</f>
        <v>5.9965</v>
      </c>
      <c r="AE26" s="45">
        <f t="shared" si="9"/>
        <v>5.9965</v>
      </c>
    </row>
    <row r="27" spans="1:31" ht="15">
      <c r="A27" s="37">
        <v>2033</v>
      </c>
      <c r="B27" s="39">
        <v>0</v>
      </c>
      <c r="C27" s="34">
        <f>costs!$C$24</f>
        <v>6.2565</v>
      </c>
      <c r="D27" s="45">
        <f t="shared" si="0"/>
        <v>6.2565</v>
      </c>
      <c r="E27" s="38">
        <v>0</v>
      </c>
      <c r="F27" s="34">
        <f>costs!$D$24</f>
        <v>4.976500000000001</v>
      </c>
      <c r="G27" s="48">
        <f t="shared" si="1"/>
        <v>4.976500000000001</v>
      </c>
      <c r="H27" s="39">
        <v>0</v>
      </c>
      <c r="I27" s="34">
        <f>costs!$E$24</f>
        <v>1.0965000000000003</v>
      </c>
      <c r="J27" s="45">
        <f t="shared" si="2"/>
        <v>1.0965000000000003</v>
      </c>
      <c r="K27" s="38">
        <v>0</v>
      </c>
      <c r="L27" s="34">
        <f>costs!$F$24</f>
        <v>2.7365000000000004</v>
      </c>
      <c r="M27" s="48">
        <f t="shared" si="3"/>
        <v>2.7365000000000004</v>
      </c>
      <c r="N27" s="39">
        <v>0</v>
      </c>
      <c r="O27" s="34">
        <f>costs!$G$24</f>
        <v>3.4265</v>
      </c>
      <c r="P27" s="45">
        <f t="shared" si="4"/>
        <v>3.4265</v>
      </c>
      <c r="Q27" s="38">
        <v>0</v>
      </c>
      <c r="R27" s="34">
        <f>costs!$H$24</f>
        <v>8.1265</v>
      </c>
      <c r="S27" s="48">
        <f t="shared" si="5"/>
        <v>8.1265</v>
      </c>
      <c r="T27" s="39">
        <v>0</v>
      </c>
      <c r="U27" s="34">
        <f>costs!$I$24</f>
        <v>8.0665</v>
      </c>
      <c r="V27" s="45">
        <f t="shared" si="6"/>
        <v>8.0665</v>
      </c>
      <c r="W27" s="38">
        <v>0</v>
      </c>
      <c r="X27" s="34">
        <f>costs!$J$24</f>
        <v>9.866499999999998</v>
      </c>
      <c r="Y27" s="48">
        <f t="shared" si="7"/>
        <v>9.866499999999998</v>
      </c>
      <c r="Z27" s="39">
        <v>0</v>
      </c>
      <c r="AA27" s="34">
        <f>costs!$K$24</f>
        <v>0.36</v>
      </c>
      <c r="AB27" s="45">
        <f t="shared" si="8"/>
        <v>0.36</v>
      </c>
      <c r="AC27" s="38">
        <v>0</v>
      </c>
      <c r="AD27" s="34">
        <f>costs!$L$24</f>
        <v>5.9965</v>
      </c>
      <c r="AE27" s="45">
        <f t="shared" si="9"/>
        <v>5.9965</v>
      </c>
    </row>
    <row r="28" spans="1:31" ht="15">
      <c r="A28" s="37">
        <v>2034</v>
      </c>
      <c r="B28" s="39">
        <v>0</v>
      </c>
      <c r="C28" s="34">
        <f>costs!$C$24</f>
        <v>6.2565</v>
      </c>
      <c r="D28" s="45">
        <f t="shared" si="0"/>
        <v>6.2565</v>
      </c>
      <c r="E28" s="38">
        <v>0</v>
      </c>
      <c r="F28" s="34">
        <f>costs!$D$24</f>
        <v>4.976500000000001</v>
      </c>
      <c r="G28" s="48">
        <f t="shared" si="1"/>
        <v>4.976500000000001</v>
      </c>
      <c r="H28" s="39">
        <v>0</v>
      </c>
      <c r="I28" s="34">
        <f>costs!$E$24</f>
        <v>1.0965000000000003</v>
      </c>
      <c r="J28" s="45">
        <f t="shared" si="2"/>
        <v>1.0965000000000003</v>
      </c>
      <c r="K28" s="38">
        <v>0</v>
      </c>
      <c r="L28" s="34">
        <f>costs!$F$24</f>
        <v>2.7365000000000004</v>
      </c>
      <c r="M28" s="48">
        <f t="shared" si="3"/>
        <v>2.7365000000000004</v>
      </c>
      <c r="N28" s="39">
        <v>0</v>
      </c>
      <c r="O28" s="34">
        <f>costs!$G$24</f>
        <v>3.4265</v>
      </c>
      <c r="P28" s="45">
        <f t="shared" si="4"/>
        <v>3.4265</v>
      </c>
      <c r="Q28" s="38">
        <v>0</v>
      </c>
      <c r="R28" s="34">
        <f>costs!$H$24</f>
        <v>8.1265</v>
      </c>
      <c r="S28" s="48">
        <f t="shared" si="5"/>
        <v>8.1265</v>
      </c>
      <c r="T28" s="39">
        <v>0</v>
      </c>
      <c r="U28" s="34">
        <f>costs!$I$24</f>
        <v>8.0665</v>
      </c>
      <c r="V28" s="45">
        <f t="shared" si="6"/>
        <v>8.0665</v>
      </c>
      <c r="W28" s="38">
        <v>0</v>
      </c>
      <c r="X28" s="34">
        <f>costs!$J$24</f>
        <v>9.866499999999998</v>
      </c>
      <c r="Y28" s="48">
        <f t="shared" si="7"/>
        <v>9.866499999999998</v>
      </c>
      <c r="Z28" s="39">
        <v>0</v>
      </c>
      <c r="AA28" s="34">
        <f>costs!$K$24</f>
        <v>0.36</v>
      </c>
      <c r="AB28" s="45">
        <f t="shared" si="8"/>
        <v>0.36</v>
      </c>
      <c r="AC28" s="38">
        <v>0</v>
      </c>
      <c r="AD28" s="34">
        <f>costs!$L$24</f>
        <v>5.9965</v>
      </c>
      <c r="AE28" s="45">
        <f t="shared" si="9"/>
        <v>5.9965</v>
      </c>
    </row>
    <row r="29" spans="1:31" ht="15">
      <c r="A29" s="37">
        <v>2035</v>
      </c>
      <c r="B29" s="39">
        <v>0</v>
      </c>
      <c r="C29" s="34">
        <f>costs!$C$24</f>
        <v>6.2565</v>
      </c>
      <c r="D29" s="45">
        <f t="shared" si="0"/>
        <v>6.2565</v>
      </c>
      <c r="E29" s="38">
        <v>0</v>
      </c>
      <c r="F29" s="34">
        <f>costs!$D$24</f>
        <v>4.976500000000001</v>
      </c>
      <c r="G29" s="48">
        <f t="shared" si="1"/>
        <v>4.976500000000001</v>
      </c>
      <c r="H29" s="39">
        <v>0</v>
      </c>
      <c r="I29" s="34">
        <f>costs!$E$24</f>
        <v>1.0965000000000003</v>
      </c>
      <c r="J29" s="45">
        <f t="shared" si="2"/>
        <v>1.0965000000000003</v>
      </c>
      <c r="K29" s="38">
        <v>0</v>
      </c>
      <c r="L29" s="34">
        <f>costs!$F$24</f>
        <v>2.7365000000000004</v>
      </c>
      <c r="M29" s="48">
        <f t="shared" si="3"/>
        <v>2.7365000000000004</v>
      </c>
      <c r="N29" s="39">
        <v>0</v>
      </c>
      <c r="O29" s="34">
        <f>costs!$G$24</f>
        <v>3.4265</v>
      </c>
      <c r="P29" s="45">
        <f t="shared" si="4"/>
        <v>3.4265</v>
      </c>
      <c r="Q29" s="38">
        <v>0</v>
      </c>
      <c r="R29" s="34">
        <f>costs!$H$24</f>
        <v>8.1265</v>
      </c>
      <c r="S29" s="48">
        <f t="shared" si="5"/>
        <v>8.1265</v>
      </c>
      <c r="T29" s="39">
        <v>0</v>
      </c>
      <c r="U29" s="34">
        <f>costs!$I$24</f>
        <v>8.0665</v>
      </c>
      <c r="V29" s="45">
        <f t="shared" si="6"/>
        <v>8.0665</v>
      </c>
      <c r="W29" s="38">
        <v>0</v>
      </c>
      <c r="X29" s="34">
        <f>costs!$J$24</f>
        <v>9.866499999999998</v>
      </c>
      <c r="Y29" s="48">
        <f t="shared" si="7"/>
        <v>9.866499999999998</v>
      </c>
      <c r="Z29" s="39">
        <v>0</v>
      </c>
      <c r="AA29" s="34">
        <f>costs!$K$24</f>
        <v>0.36</v>
      </c>
      <c r="AB29" s="45">
        <f t="shared" si="8"/>
        <v>0.36</v>
      </c>
      <c r="AC29" s="38">
        <v>0</v>
      </c>
      <c r="AD29" s="34">
        <f>costs!$L$24</f>
        <v>5.9965</v>
      </c>
      <c r="AE29" s="45">
        <f t="shared" si="9"/>
        <v>5.9965</v>
      </c>
    </row>
    <row r="30" spans="1:31" ht="15">
      <c r="A30" s="37">
        <v>2036</v>
      </c>
      <c r="B30" s="39">
        <v>0</v>
      </c>
      <c r="C30" s="34">
        <f>costs!$C$24</f>
        <v>6.2565</v>
      </c>
      <c r="D30" s="45">
        <f t="shared" si="0"/>
        <v>6.2565</v>
      </c>
      <c r="E30" s="38">
        <v>0</v>
      </c>
      <c r="F30" s="34">
        <f>costs!$D$24</f>
        <v>4.976500000000001</v>
      </c>
      <c r="G30" s="48">
        <f t="shared" si="1"/>
        <v>4.976500000000001</v>
      </c>
      <c r="H30" s="39">
        <v>0</v>
      </c>
      <c r="I30" s="34">
        <f>costs!$E$24</f>
        <v>1.0965000000000003</v>
      </c>
      <c r="J30" s="45">
        <f t="shared" si="2"/>
        <v>1.0965000000000003</v>
      </c>
      <c r="K30" s="38">
        <v>0</v>
      </c>
      <c r="L30" s="34">
        <f>costs!$F$24</f>
        <v>2.7365000000000004</v>
      </c>
      <c r="M30" s="48">
        <f t="shared" si="3"/>
        <v>2.7365000000000004</v>
      </c>
      <c r="N30" s="39">
        <v>0</v>
      </c>
      <c r="O30" s="34">
        <f>costs!$G$24</f>
        <v>3.4265</v>
      </c>
      <c r="P30" s="45">
        <f t="shared" si="4"/>
        <v>3.4265</v>
      </c>
      <c r="Q30" s="38">
        <v>0</v>
      </c>
      <c r="R30" s="34">
        <f>costs!$H$24</f>
        <v>8.1265</v>
      </c>
      <c r="S30" s="48">
        <f t="shared" si="5"/>
        <v>8.1265</v>
      </c>
      <c r="T30" s="39">
        <v>0</v>
      </c>
      <c r="U30" s="34">
        <f>costs!$I$24</f>
        <v>8.0665</v>
      </c>
      <c r="V30" s="45">
        <f t="shared" si="6"/>
        <v>8.0665</v>
      </c>
      <c r="W30" s="38">
        <v>0</v>
      </c>
      <c r="X30" s="34">
        <f>costs!$J$24</f>
        <v>9.866499999999998</v>
      </c>
      <c r="Y30" s="48">
        <f t="shared" si="7"/>
        <v>9.866499999999998</v>
      </c>
      <c r="Z30" s="39">
        <v>0</v>
      </c>
      <c r="AA30" s="34">
        <f>costs!$K$24</f>
        <v>0.36</v>
      </c>
      <c r="AB30" s="45">
        <f t="shared" si="8"/>
        <v>0.36</v>
      </c>
      <c r="AC30" s="38">
        <v>0</v>
      </c>
      <c r="AD30" s="34">
        <f>costs!$L$24</f>
        <v>5.9965</v>
      </c>
      <c r="AE30" s="45">
        <f t="shared" si="9"/>
        <v>5.9965</v>
      </c>
    </row>
    <row r="31" spans="1:31" ht="15">
      <c r="A31" s="37">
        <v>2037</v>
      </c>
      <c r="B31" s="39">
        <v>0</v>
      </c>
      <c r="C31" s="34">
        <f>costs!$C$24</f>
        <v>6.2565</v>
      </c>
      <c r="D31" s="45">
        <f t="shared" si="0"/>
        <v>6.2565</v>
      </c>
      <c r="E31" s="38">
        <v>0</v>
      </c>
      <c r="F31" s="34">
        <f>costs!$D$24</f>
        <v>4.976500000000001</v>
      </c>
      <c r="G31" s="48">
        <f t="shared" si="1"/>
        <v>4.976500000000001</v>
      </c>
      <c r="H31" s="39">
        <v>0</v>
      </c>
      <c r="I31" s="34">
        <f>costs!$E$24</f>
        <v>1.0965000000000003</v>
      </c>
      <c r="J31" s="45">
        <f t="shared" si="2"/>
        <v>1.0965000000000003</v>
      </c>
      <c r="K31" s="38">
        <v>0</v>
      </c>
      <c r="L31" s="34">
        <f>costs!$F$24</f>
        <v>2.7365000000000004</v>
      </c>
      <c r="M31" s="48">
        <f t="shared" si="3"/>
        <v>2.7365000000000004</v>
      </c>
      <c r="N31" s="39">
        <v>0</v>
      </c>
      <c r="O31" s="34">
        <f>costs!$G$24</f>
        <v>3.4265</v>
      </c>
      <c r="P31" s="45">
        <f t="shared" si="4"/>
        <v>3.4265</v>
      </c>
      <c r="Q31" s="38">
        <v>0</v>
      </c>
      <c r="R31" s="34">
        <f>costs!$H$24</f>
        <v>8.1265</v>
      </c>
      <c r="S31" s="48">
        <f t="shared" si="5"/>
        <v>8.1265</v>
      </c>
      <c r="T31" s="39">
        <v>0</v>
      </c>
      <c r="U31" s="34">
        <f>costs!$I$24</f>
        <v>8.0665</v>
      </c>
      <c r="V31" s="45">
        <f t="shared" si="6"/>
        <v>8.0665</v>
      </c>
      <c r="W31" s="38">
        <v>0</v>
      </c>
      <c r="X31" s="34">
        <f>costs!$J$24</f>
        <v>9.866499999999998</v>
      </c>
      <c r="Y31" s="48">
        <f t="shared" si="7"/>
        <v>9.866499999999998</v>
      </c>
      <c r="Z31" s="39">
        <v>0</v>
      </c>
      <c r="AA31" s="34">
        <f>costs!$K$24</f>
        <v>0.36</v>
      </c>
      <c r="AB31" s="45">
        <f t="shared" si="8"/>
        <v>0.36</v>
      </c>
      <c r="AC31" s="38">
        <v>0</v>
      </c>
      <c r="AD31" s="34">
        <f>costs!$L$24</f>
        <v>5.9965</v>
      </c>
      <c r="AE31" s="45">
        <f t="shared" si="9"/>
        <v>5.9965</v>
      </c>
    </row>
    <row r="32" spans="1:31" ht="15">
      <c r="A32" s="37">
        <v>2038</v>
      </c>
      <c r="B32" s="39">
        <v>0</v>
      </c>
      <c r="C32" s="34">
        <f>costs!$C$24</f>
        <v>6.2565</v>
      </c>
      <c r="D32" s="45">
        <f t="shared" si="0"/>
        <v>6.2565</v>
      </c>
      <c r="E32" s="38">
        <v>0</v>
      </c>
      <c r="F32" s="34">
        <f>costs!$D$24</f>
        <v>4.976500000000001</v>
      </c>
      <c r="G32" s="48">
        <f t="shared" si="1"/>
        <v>4.976500000000001</v>
      </c>
      <c r="H32" s="39">
        <v>0</v>
      </c>
      <c r="I32" s="34">
        <f>costs!$E$24</f>
        <v>1.0965000000000003</v>
      </c>
      <c r="J32" s="45">
        <f t="shared" si="2"/>
        <v>1.0965000000000003</v>
      </c>
      <c r="K32" s="38">
        <v>0</v>
      </c>
      <c r="L32" s="34">
        <f>costs!$F$24</f>
        <v>2.7365000000000004</v>
      </c>
      <c r="M32" s="48">
        <f t="shared" si="3"/>
        <v>2.7365000000000004</v>
      </c>
      <c r="N32" s="39">
        <v>0</v>
      </c>
      <c r="O32" s="34">
        <f>costs!$G$24</f>
        <v>3.4265</v>
      </c>
      <c r="P32" s="45">
        <f t="shared" si="4"/>
        <v>3.4265</v>
      </c>
      <c r="Q32" s="38">
        <v>0</v>
      </c>
      <c r="R32" s="34">
        <f>costs!$H$24</f>
        <v>8.1265</v>
      </c>
      <c r="S32" s="48">
        <f t="shared" si="5"/>
        <v>8.1265</v>
      </c>
      <c r="T32" s="39">
        <v>0</v>
      </c>
      <c r="U32" s="34">
        <f>costs!$I$24</f>
        <v>8.0665</v>
      </c>
      <c r="V32" s="45">
        <f t="shared" si="6"/>
        <v>8.0665</v>
      </c>
      <c r="W32" s="38">
        <v>0</v>
      </c>
      <c r="X32" s="34">
        <f>costs!$J$24</f>
        <v>9.866499999999998</v>
      </c>
      <c r="Y32" s="48">
        <f t="shared" si="7"/>
        <v>9.866499999999998</v>
      </c>
      <c r="Z32" s="39">
        <v>0</v>
      </c>
      <c r="AA32" s="34">
        <f>costs!$K$24</f>
        <v>0.36</v>
      </c>
      <c r="AB32" s="45">
        <f t="shared" si="8"/>
        <v>0.36</v>
      </c>
      <c r="AC32" s="38">
        <v>0</v>
      </c>
      <c r="AD32" s="34">
        <f>costs!$L$24</f>
        <v>5.9965</v>
      </c>
      <c r="AE32" s="45">
        <f t="shared" si="9"/>
        <v>5.9965</v>
      </c>
    </row>
    <row r="33" spans="1:31" ht="15">
      <c r="A33" s="37">
        <v>2039</v>
      </c>
      <c r="B33" s="39">
        <v>0</v>
      </c>
      <c r="C33" s="34">
        <f>costs!$C$24</f>
        <v>6.2565</v>
      </c>
      <c r="D33" s="45">
        <f t="shared" si="0"/>
        <v>6.2565</v>
      </c>
      <c r="E33" s="38">
        <v>0</v>
      </c>
      <c r="F33" s="34">
        <f>costs!$D$24</f>
        <v>4.976500000000001</v>
      </c>
      <c r="G33" s="48">
        <f t="shared" si="1"/>
        <v>4.976500000000001</v>
      </c>
      <c r="H33" s="39">
        <v>0</v>
      </c>
      <c r="I33" s="34">
        <f>costs!$E$24</f>
        <v>1.0965000000000003</v>
      </c>
      <c r="J33" s="45">
        <f t="shared" si="2"/>
        <v>1.0965000000000003</v>
      </c>
      <c r="K33" s="38">
        <v>0</v>
      </c>
      <c r="L33" s="34">
        <f>costs!$F$24</f>
        <v>2.7365000000000004</v>
      </c>
      <c r="M33" s="48">
        <f t="shared" si="3"/>
        <v>2.7365000000000004</v>
      </c>
      <c r="N33" s="39">
        <v>0</v>
      </c>
      <c r="O33" s="34">
        <f>costs!$G$24</f>
        <v>3.4265</v>
      </c>
      <c r="P33" s="45">
        <f t="shared" si="4"/>
        <v>3.4265</v>
      </c>
      <c r="Q33" s="38">
        <v>0</v>
      </c>
      <c r="R33" s="34">
        <f>costs!$H$24</f>
        <v>8.1265</v>
      </c>
      <c r="S33" s="48">
        <f t="shared" si="5"/>
        <v>8.1265</v>
      </c>
      <c r="T33" s="39">
        <v>0</v>
      </c>
      <c r="U33" s="34">
        <f>costs!$I$24</f>
        <v>8.0665</v>
      </c>
      <c r="V33" s="45">
        <f t="shared" si="6"/>
        <v>8.0665</v>
      </c>
      <c r="W33" s="38">
        <v>0</v>
      </c>
      <c r="X33" s="34">
        <f>costs!$J$24</f>
        <v>9.866499999999998</v>
      </c>
      <c r="Y33" s="48">
        <f t="shared" si="7"/>
        <v>9.866499999999998</v>
      </c>
      <c r="Z33" s="39">
        <v>0</v>
      </c>
      <c r="AA33" s="34">
        <f>costs!$K$24</f>
        <v>0.36</v>
      </c>
      <c r="AB33" s="45">
        <f t="shared" si="8"/>
        <v>0.36</v>
      </c>
      <c r="AC33" s="38">
        <v>0</v>
      </c>
      <c r="AD33" s="34">
        <f>costs!$L$24</f>
        <v>5.9965</v>
      </c>
      <c r="AE33" s="45">
        <f t="shared" si="9"/>
        <v>5.9965</v>
      </c>
    </row>
    <row r="34" spans="1:31" ht="15">
      <c r="A34" s="37">
        <v>2040</v>
      </c>
      <c r="B34" s="39">
        <v>0</v>
      </c>
      <c r="C34" s="34">
        <f>costs!$C$24</f>
        <v>6.2565</v>
      </c>
      <c r="D34" s="45">
        <f t="shared" si="0"/>
        <v>6.2565</v>
      </c>
      <c r="E34" s="38">
        <v>0</v>
      </c>
      <c r="F34" s="34">
        <f>costs!$D$24</f>
        <v>4.976500000000001</v>
      </c>
      <c r="G34" s="48">
        <f t="shared" si="1"/>
        <v>4.976500000000001</v>
      </c>
      <c r="H34" s="39">
        <v>0</v>
      </c>
      <c r="I34" s="34">
        <f>costs!$E$24</f>
        <v>1.0965000000000003</v>
      </c>
      <c r="J34" s="45">
        <f t="shared" si="2"/>
        <v>1.0965000000000003</v>
      </c>
      <c r="K34" s="38">
        <v>0</v>
      </c>
      <c r="L34" s="34">
        <f>costs!$F$24</f>
        <v>2.7365000000000004</v>
      </c>
      <c r="M34" s="48">
        <f t="shared" si="3"/>
        <v>2.7365000000000004</v>
      </c>
      <c r="N34" s="39">
        <v>0</v>
      </c>
      <c r="O34" s="34">
        <f>costs!$G$24</f>
        <v>3.4265</v>
      </c>
      <c r="P34" s="45">
        <f t="shared" si="4"/>
        <v>3.4265</v>
      </c>
      <c r="Q34" s="38">
        <v>0</v>
      </c>
      <c r="R34" s="34">
        <f>costs!$H$24</f>
        <v>8.1265</v>
      </c>
      <c r="S34" s="48">
        <f t="shared" si="5"/>
        <v>8.1265</v>
      </c>
      <c r="T34" s="39">
        <v>0</v>
      </c>
      <c r="U34" s="34">
        <f>costs!$I$24</f>
        <v>8.0665</v>
      </c>
      <c r="V34" s="45">
        <f t="shared" si="6"/>
        <v>8.0665</v>
      </c>
      <c r="W34" s="38">
        <v>0</v>
      </c>
      <c r="X34" s="34">
        <f>costs!$J$24</f>
        <v>9.866499999999998</v>
      </c>
      <c r="Y34" s="48">
        <f t="shared" si="7"/>
        <v>9.866499999999998</v>
      </c>
      <c r="Z34" s="39">
        <v>0</v>
      </c>
      <c r="AA34" s="34">
        <f>costs!$K$24</f>
        <v>0.36</v>
      </c>
      <c r="AB34" s="45">
        <f t="shared" si="8"/>
        <v>0.36</v>
      </c>
      <c r="AC34" s="38">
        <v>0</v>
      </c>
      <c r="AD34" s="34">
        <f>costs!$L$24</f>
        <v>5.9965</v>
      </c>
      <c r="AE34" s="45">
        <f t="shared" si="9"/>
        <v>5.9965</v>
      </c>
    </row>
    <row r="35" spans="1:31" ht="15.75" thickBot="1">
      <c r="A35" s="40">
        <v>2041</v>
      </c>
      <c r="B35" s="41">
        <v>0</v>
      </c>
      <c r="C35" s="42">
        <f>costs!$C$24</f>
        <v>6.2565</v>
      </c>
      <c r="D35" s="46">
        <f t="shared" si="0"/>
        <v>6.2565</v>
      </c>
      <c r="E35" s="43">
        <v>0</v>
      </c>
      <c r="F35" s="42">
        <f>costs!$D$24</f>
        <v>4.976500000000001</v>
      </c>
      <c r="G35" s="49">
        <f t="shared" si="1"/>
        <v>4.976500000000001</v>
      </c>
      <c r="H35" s="41">
        <v>0</v>
      </c>
      <c r="I35" s="42">
        <f>costs!$E$24</f>
        <v>1.0965000000000003</v>
      </c>
      <c r="J35" s="46">
        <f t="shared" si="2"/>
        <v>1.0965000000000003</v>
      </c>
      <c r="K35" s="43">
        <v>0</v>
      </c>
      <c r="L35" s="42">
        <f>costs!$F$24</f>
        <v>2.7365000000000004</v>
      </c>
      <c r="M35" s="49">
        <f t="shared" si="3"/>
        <v>2.7365000000000004</v>
      </c>
      <c r="N35" s="41">
        <v>0</v>
      </c>
      <c r="O35" s="42">
        <f>costs!$G$24</f>
        <v>3.4265</v>
      </c>
      <c r="P35" s="46">
        <f t="shared" si="4"/>
        <v>3.4265</v>
      </c>
      <c r="Q35" s="43">
        <v>0</v>
      </c>
      <c r="R35" s="42">
        <f>costs!$H$24</f>
        <v>8.1265</v>
      </c>
      <c r="S35" s="49">
        <f t="shared" si="5"/>
        <v>8.1265</v>
      </c>
      <c r="T35" s="41">
        <v>0</v>
      </c>
      <c r="U35" s="42">
        <f>costs!$I$24</f>
        <v>8.0665</v>
      </c>
      <c r="V35" s="46">
        <f t="shared" si="6"/>
        <v>8.0665</v>
      </c>
      <c r="W35" s="43">
        <v>0</v>
      </c>
      <c r="X35" s="42">
        <f>costs!$J$24</f>
        <v>9.866499999999998</v>
      </c>
      <c r="Y35" s="49">
        <f t="shared" si="7"/>
        <v>9.866499999999998</v>
      </c>
      <c r="Z35" s="41">
        <v>0</v>
      </c>
      <c r="AA35" s="42">
        <f>costs!$K$24</f>
        <v>0.36</v>
      </c>
      <c r="AB35" s="46">
        <f t="shared" si="8"/>
        <v>0.36</v>
      </c>
      <c r="AC35" s="43">
        <v>0</v>
      </c>
      <c r="AD35" s="42">
        <f>costs!$L$24</f>
        <v>5.9965</v>
      </c>
      <c r="AE35" s="46">
        <f t="shared" si="9"/>
        <v>5.9965</v>
      </c>
    </row>
    <row r="36" spans="1:31" s="59" customFormat="1" ht="15.75" thickBot="1">
      <c r="A36" s="53" t="s">
        <v>49</v>
      </c>
      <c r="B36" s="54">
        <f>SUM(B4:B35)</f>
        <v>117.4</v>
      </c>
      <c r="C36" s="55">
        <f aca="true" t="shared" si="10" ref="C36:AE36">SUM(C4:C35)</f>
        <v>187.69499999999994</v>
      </c>
      <c r="D36" s="56">
        <f t="shared" si="10"/>
        <v>305.0949999999999</v>
      </c>
      <c r="E36" s="57">
        <f t="shared" si="10"/>
        <v>87.4</v>
      </c>
      <c r="F36" s="55">
        <f t="shared" si="10"/>
        <v>149.29499999999996</v>
      </c>
      <c r="G36" s="58">
        <f t="shared" si="10"/>
        <v>236.69499999999974</v>
      </c>
      <c r="H36" s="54">
        <f t="shared" si="10"/>
        <v>109.60000000000001</v>
      </c>
      <c r="I36" s="55">
        <f t="shared" si="10"/>
        <v>32.894999999999996</v>
      </c>
      <c r="J36" s="56">
        <f t="shared" si="10"/>
        <v>142.495</v>
      </c>
      <c r="K36" s="57">
        <f t="shared" si="10"/>
        <v>99.095</v>
      </c>
      <c r="L36" s="55">
        <f t="shared" si="10"/>
        <v>82.09500000000004</v>
      </c>
      <c r="M36" s="58">
        <f t="shared" si="10"/>
        <v>181.1900000000002</v>
      </c>
      <c r="N36" s="54">
        <f t="shared" si="10"/>
        <v>94.875</v>
      </c>
      <c r="O36" s="55">
        <f t="shared" si="10"/>
        <v>102.79500000000003</v>
      </c>
      <c r="P36" s="56">
        <f t="shared" si="10"/>
        <v>197.67000000000013</v>
      </c>
      <c r="Q36" s="57">
        <f t="shared" si="10"/>
        <v>94.35</v>
      </c>
      <c r="R36" s="55">
        <f t="shared" si="10"/>
        <v>243.79499999999985</v>
      </c>
      <c r="S36" s="58">
        <f t="shared" si="10"/>
        <v>338.1450000000001</v>
      </c>
      <c r="T36" s="54">
        <f t="shared" si="10"/>
        <v>122.61</v>
      </c>
      <c r="U36" s="55">
        <f t="shared" si="10"/>
        <v>241.9949999999999</v>
      </c>
      <c r="V36" s="56">
        <f t="shared" si="10"/>
        <v>364.60500000000013</v>
      </c>
      <c r="W36" s="57">
        <f t="shared" si="10"/>
        <v>177.95999999999998</v>
      </c>
      <c r="X36" s="55">
        <f t="shared" si="10"/>
        <v>295.9949999999999</v>
      </c>
      <c r="Y36" s="58">
        <f t="shared" si="10"/>
        <v>473.9549999999994</v>
      </c>
      <c r="Z36" s="54">
        <f t="shared" si="10"/>
        <v>184</v>
      </c>
      <c r="AA36" s="55">
        <f t="shared" si="10"/>
        <v>10.799999999999999</v>
      </c>
      <c r="AB36" s="56">
        <f t="shared" si="10"/>
        <v>194.8000000000004</v>
      </c>
      <c r="AC36" s="57">
        <f t="shared" si="10"/>
        <v>81.13999999999999</v>
      </c>
      <c r="AD36" s="55">
        <f t="shared" si="10"/>
        <v>179.89499999999995</v>
      </c>
      <c r="AE36" s="56">
        <f t="shared" si="10"/>
        <v>261.0349999999999</v>
      </c>
    </row>
    <row r="37" spans="1:31" s="59" customFormat="1" ht="27" customHeight="1" thickBot="1">
      <c r="A37" s="60" t="s">
        <v>50</v>
      </c>
      <c r="B37" s="61">
        <f>NPV(0.12,B5:B35)+B4</f>
        <v>109.9</v>
      </c>
      <c r="C37" s="61">
        <f aca="true" t="shared" si="11" ref="C37:AE37">NPV(0.12,C5:C35)+C4</f>
        <v>44.99755222652752</v>
      </c>
      <c r="D37" s="61">
        <f t="shared" si="11"/>
        <v>154.8975522265275</v>
      </c>
      <c r="E37" s="61">
        <f t="shared" si="11"/>
        <v>82.15</v>
      </c>
      <c r="F37" s="61">
        <f t="shared" si="11"/>
        <v>35.79162769205055</v>
      </c>
      <c r="G37" s="61">
        <f t="shared" si="11"/>
        <v>117.94162769205052</v>
      </c>
      <c r="H37" s="61">
        <f t="shared" si="11"/>
        <v>106.60000000000001</v>
      </c>
      <c r="I37" s="61">
        <f t="shared" si="11"/>
        <v>7.886168946917193</v>
      </c>
      <c r="J37" s="61">
        <f t="shared" si="11"/>
        <v>114.48616894691719</v>
      </c>
      <c r="K37" s="61">
        <f t="shared" si="11"/>
        <v>92.86999999999999</v>
      </c>
      <c r="L37" s="61">
        <f t="shared" si="11"/>
        <v>19.681259756715825</v>
      </c>
      <c r="M37" s="61">
        <f t="shared" si="11"/>
        <v>112.55125975671578</v>
      </c>
      <c r="N37" s="61">
        <f t="shared" si="11"/>
        <v>88.57499999999999</v>
      </c>
      <c r="O37" s="61">
        <f t="shared" si="11"/>
        <v>24.643828451082307</v>
      </c>
      <c r="P37" s="61">
        <f t="shared" si="11"/>
        <v>113.21882845108232</v>
      </c>
      <c r="Q37" s="61">
        <f t="shared" si="11"/>
        <v>87.6</v>
      </c>
      <c r="R37" s="61">
        <f t="shared" si="11"/>
        <v>58.44683260111496</v>
      </c>
      <c r="S37" s="61">
        <f t="shared" si="11"/>
        <v>146.04683260111494</v>
      </c>
      <c r="T37" s="61">
        <f t="shared" si="11"/>
        <v>113.60999999999999</v>
      </c>
      <c r="U37" s="61">
        <f t="shared" si="11"/>
        <v>58.01530488856136</v>
      </c>
      <c r="V37" s="61">
        <f t="shared" si="11"/>
        <v>171.6253048885613</v>
      </c>
      <c r="W37" s="61">
        <f t="shared" si="11"/>
        <v>165.135</v>
      </c>
      <c r="X37" s="61">
        <f t="shared" si="11"/>
        <v>70.96113626516959</v>
      </c>
      <c r="Y37" s="61">
        <f t="shared" si="11"/>
        <v>236.09613626516955</v>
      </c>
      <c r="Z37" s="61">
        <f t="shared" si="11"/>
        <v>183.25</v>
      </c>
      <c r="AA37" s="61">
        <f t="shared" si="11"/>
        <v>2.5891662753216487</v>
      </c>
      <c r="AB37" s="61">
        <f t="shared" si="11"/>
        <v>185.83916627532165</v>
      </c>
      <c r="AC37" s="61">
        <f t="shared" si="11"/>
        <v>76.48999999999998</v>
      </c>
      <c r="AD37" s="61">
        <f t="shared" si="11"/>
        <v>43.12759880546187</v>
      </c>
      <c r="AE37" s="61">
        <f t="shared" si="11"/>
        <v>119.61759880546182</v>
      </c>
    </row>
    <row r="40" spans="2:12" ht="15.75" thickBot="1">
      <c r="B40" s="51" t="s">
        <v>63</v>
      </c>
      <c r="L40" s="50" t="s">
        <v>51</v>
      </c>
    </row>
    <row r="41" spans="2:12" ht="26.25" thickBot="1">
      <c r="B41" s="70" t="s">
        <v>53</v>
      </c>
      <c r="C41" s="72" t="s">
        <v>2</v>
      </c>
      <c r="D41" s="72" t="s">
        <v>3</v>
      </c>
      <c r="E41" s="83" t="s">
        <v>4</v>
      </c>
      <c r="F41" s="91" t="s">
        <v>5</v>
      </c>
      <c r="G41" s="71" t="s">
        <v>6</v>
      </c>
      <c r="H41" s="72" t="s">
        <v>7</v>
      </c>
      <c r="I41" s="71" t="s">
        <v>8</v>
      </c>
      <c r="J41" s="72" t="s">
        <v>9</v>
      </c>
      <c r="K41" s="71" t="s">
        <v>10</v>
      </c>
      <c r="L41" s="72" t="s">
        <v>11</v>
      </c>
    </row>
    <row r="42" spans="2:12" ht="15">
      <c r="B42" s="69" t="s">
        <v>12</v>
      </c>
      <c r="C42" s="33">
        <f>costs!C6</f>
        <v>100</v>
      </c>
      <c r="D42" s="33">
        <f>costs!D6</f>
        <v>70</v>
      </c>
      <c r="E42" s="84">
        <f>costs!E6</f>
        <v>40</v>
      </c>
      <c r="F42" s="92">
        <f>costs!F6</f>
        <v>83</v>
      </c>
      <c r="G42" s="33">
        <f>costs!G6</f>
        <v>84</v>
      </c>
      <c r="H42" s="33">
        <f>costs!H6</f>
        <v>90</v>
      </c>
      <c r="I42" s="33">
        <f>costs!I6</f>
        <v>120</v>
      </c>
      <c r="J42" s="33">
        <f>costs!J6</f>
        <v>171</v>
      </c>
      <c r="K42" s="33">
        <f>costs!K6</f>
        <v>10</v>
      </c>
      <c r="L42" s="33">
        <f>costs!L6</f>
        <v>62</v>
      </c>
    </row>
    <row r="43" spans="2:12" ht="15">
      <c r="B43" s="69" t="s">
        <v>54</v>
      </c>
      <c r="C43" s="75">
        <f>costs!C22</f>
        <v>17.400000000000002</v>
      </c>
      <c r="D43" s="75">
        <f>costs!D22</f>
        <v>17.400000000000002</v>
      </c>
      <c r="E43" s="85">
        <f>costs!E22</f>
        <v>69.60000000000001</v>
      </c>
      <c r="F43" s="93">
        <f>costs!F22</f>
        <v>16.095</v>
      </c>
      <c r="G43" s="75">
        <f>costs!G22</f>
        <v>10.875</v>
      </c>
      <c r="H43" s="75">
        <f>costs!H22</f>
        <v>4.3500000000000005</v>
      </c>
      <c r="I43" s="75">
        <f>costs!I22</f>
        <v>2.61</v>
      </c>
      <c r="J43" s="75">
        <f>costs!J22</f>
        <v>6.96</v>
      </c>
      <c r="K43" s="75">
        <f>costs!K22</f>
        <v>174</v>
      </c>
      <c r="L43" s="75">
        <f>costs!L22</f>
        <v>19.14</v>
      </c>
    </row>
    <row r="44" spans="2:12" ht="15">
      <c r="B44" s="73" t="s">
        <v>55</v>
      </c>
      <c r="C44" s="76">
        <f>C42+C43</f>
        <v>117.4</v>
      </c>
      <c r="D44" s="76">
        <f aca="true" t="shared" si="12" ref="D44:L44">D42+D43</f>
        <v>87.4</v>
      </c>
      <c r="E44" s="86">
        <f t="shared" si="12"/>
        <v>109.60000000000001</v>
      </c>
      <c r="F44" s="94">
        <f t="shared" si="12"/>
        <v>99.095</v>
      </c>
      <c r="G44" s="77">
        <f t="shared" si="12"/>
        <v>94.875</v>
      </c>
      <c r="H44" s="76">
        <f t="shared" si="12"/>
        <v>94.35</v>
      </c>
      <c r="I44" s="77">
        <f t="shared" si="12"/>
        <v>122.61</v>
      </c>
      <c r="J44" s="76">
        <f t="shared" si="12"/>
        <v>177.96</v>
      </c>
      <c r="K44" s="77">
        <f t="shared" si="12"/>
        <v>184</v>
      </c>
      <c r="L44" s="76">
        <f t="shared" si="12"/>
        <v>81.14</v>
      </c>
    </row>
    <row r="45" spans="2:12" ht="15">
      <c r="B45" s="69"/>
      <c r="C45" s="78"/>
      <c r="D45" s="78"/>
      <c r="E45" s="87"/>
      <c r="F45" s="95"/>
      <c r="G45" s="79"/>
      <c r="H45" s="78"/>
      <c r="I45" s="79"/>
      <c r="J45" s="78"/>
      <c r="K45" s="79"/>
      <c r="L45" s="78"/>
    </row>
    <row r="46" spans="2:12" ht="15">
      <c r="B46" s="69" t="s">
        <v>56</v>
      </c>
      <c r="C46" s="78">
        <f>costs!C13</f>
        <v>6.59</v>
      </c>
      <c r="D46" s="78">
        <f>costs!D13</f>
        <v>5.32</v>
      </c>
      <c r="E46" s="88">
        <f>costs!E13</f>
        <v>1.1600000000000001</v>
      </c>
      <c r="F46" s="95">
        <f>costs!F13</f>
        <v>2.99</v>
      </c>
      <c r="G46" s="78">
        <f>costs!G13</f>
        <v>3.6799999999999997</v>
      </c>
      <c r="H46" s="78">
        <f>costs!H13</f>
        <v>8.14</v>
      </c>
      <c r="I46" s="78">
        <f>costs!I13</f>
        <v>8.209999999999999</v>
      </c>
      <c r="J46" s="78">
        <f>costs!J13</f>
        <v>10.009999999999998</v>
      </c>
      <c r="K46" s="78">
        <f>costs!K13</f>
        <v>0.51</v>
      </c>
      <c r="L46" s="78">
        <f>costs!L13</f>
        <v>6.140000000000001</v>
      </c>
    </row>
    <row r="47" spans="2:12" ht="15">
      <c r="B47" s="69" t="s">
        <v>19</v>
      </c>
      <c r="C47" s="78">
        <f>costs!C18</f>
        <v>0.3335</v>
      </c>
      <c r="D47" s="78">
        <f>costs!D18</f>
        <v>0.3435</v>
      </c>
      <c r="E47" s="88">
        <f>costs!E18</f>
        <v>0.0635</v>
      </c>
      <c r="F47" s="95">
        <f>costs!F18</f>
        <v>0.2535</v>
      </c>
      <c r="G47" s="78">
        <f>costs!G18</f>
        <v>0.2535</v>
      </c>
      <c r="H47" s="78">
        <f>costs!H18</f>
        <v>0.0135</v>
      </c>
      <c r="I47" s="78">
        <f>costs!I18</f>
        <v>0.14350000000000002</v>
      </c>
      <c r="J47" s="78">
        <f>costs!J18</f>
        <v>0.14350000000000002</v>
      </c>
      <c r="K47" s="78">
        <f>costs!K18</f>
        <v>0.15</v>
      </c>
      <c r="L47" s="78">
        <f>costs!L18</f>
        <v>0.14350000000000002</v>
      </c>
    </row>
    <row r="48" spans="2:12" ht="15">
      <c r="B48" s="73" t="s">
        <v>34</v>
      </c>
      <c r="C48" s="76">
        <f>C46-C47</f>
        <v>6.2565</v>
      </c>
      <c r="D48" s="76">
        <f aca="true" t="shared" si="13" ref="D48:L48">D46-D47</f>
        <v>4.976500000000001</v>
      </c>
      <c r="E48" s="89">
        <f t="shared" si="13"/>
        <v>1.0965000000000003</v>
      </c>
      <c r="F48" s="94">
        <f t="shared" si="13"/>
        <v>2.7365000000000004</v>
      </c>
      <c r="G48" s="76">
        <f t="shared" si="13"/>
        <v>3.4265</v>
      </c>
      <c r="H48" s="76">
        <f t="shared" si="13"/>
        <v>8.1265</v>
      </c>
      <c r="I48" s="76">
        <f t="shared" si="13"/>
        <v>8.0665</v>
      </c>
      <c r="J48" s="76">
        <f t="shared" si="13"/>
        <v>9.866499999999998</v>
      </c>
      <c r="K48" s="76">
        <f t="shared" si="13"/>
        <v>0.36</v>
      </c>
      <c r="L48" s="76">
        <f t="shared" si="13"/>
        <v>5.9965</v>
      </c>
    </row>
    <row r="49" spans="2:12" ht="15">
      <c r="B49" s="69"/>
      <c r="C49" s="78"/>
      <c r="D49" s="78"/>
      <c r="E49" s="87"/>
      <c r="F49" s="95"/>
      <c r="G49" s="79"/>
      <c r="H49" s="78"/>
      <c r="I49" s="79"/>
      <c r="J49" s="78"/>
      <c r="K49" s="79"/>
      <c r="L49" s="78"/>
    </row>
    <row r="50" spans="2:12" ht="15">
      <c r="B50" s="69" t="s">
        <v>57</v>
      </c>
      <c r="C50" s="78">
        <f>D36</f>
        <v>305.0949999999999</v>
      </c>
      <c r="D50" s="78">
        <f>G36</f>
        <v>236.69499999999974</v>
      </c>
      <c r="E50" s="87">
        <f>J36</f>
        <v>142.495</v>
      </c>
      <c r="F50" s="95">
        <f>M36</f>
        <v>181.1900000000002</v>
      </c>
      <c r="G50" s="79">
        <f>P36</f>
        <v>197.67000000000013</v>
      </c>
      <c r="H50" s="78">
        <f>S36</f>
        <v>338.1450000000001</v>
      </c>
      <c r="I50" s="79">
        <f>V36</f>
        <v>364.60500000000013</v>
      </c>
      <c r="J50" s="78">
        <f>Y36</f>
        <v>473.9549999999994</v>
      </c>
      <c r="K50" s="79">
        <f>AB36</f>
        <v>194.8000000000004</v>
      </c>
      <c r="L50" s="78">
        <f>AE36</f>
        <v>261.0349999999999</v>
      </c>
    </row>
    <row r="51" spans="2:12" ht="15">
      <c r="B51" s="73" t="s">
        <v>58</v>
      </c>
      <c r="C51" s="76">
        <f>D37</f>
        <v>154.8975522265275</v>
      </c>
      <c r="D51" s="76">
        <f>G37</f>
        <v>117.94162769205052</v>
      </c>
      <c r="E51" s="86">
        <f>J37</f>
        <v>114.48616894691719</v>
      </c>
      <c r="F51" s="94">
        <f>M37</f>
        <v>112.55125975671578</v>
      </c>
      <c r="G51" s="77">
        <f>P37</f>
        <v>113.21882845108232</v>
      </c>
      <c r="H51" s="76">
        <f>S37</f>
        <v>146.04683260111494</v>
      </c>
      <c r="I51" s="77">
        <f>V37</f>
        <v>171.6253048885613</v>
      </c>
      <c r="J51" s="76">
        <f>Y37</f>
        <v>236.09613626516955</v>
      </c>
      <c r="K51" s="77">
        <f>AB37</f>
        <v>185.83916627532165</v>
      </c>
      <c r="L51" s="76">
        <f>AE37</f>
        <v>119.61759880546182</v>
      </c>
    </row>
    <row r="52" spans="2:12" ht="15">
      <c r="B52" s="69" t="s">
        <v>59</v>
      </c>
      <c r="C52" s="78">
        <f>12%*(1+12%)^30/((1+12%)^(30-1))</f>
        <v>0.13440000000000002</v>
      </c>
      <c r="D52" s="78">
        <f aca="true" t="shared" si="14" ref="D52:L52">12%*(1+12%)^30/((1+12%)^(30-1))</f>
        <v>0.13440000000000002</v>
      </c>
      <c r="E52" s="87">
        <f t="shared" si="14"/>
        <v>0.13440000000000002</v>
      </c>
      <c r="F52" s="95">
        <f t="shared" si="14"/>
        <v>0.13440000000000002</v>
      </c>
      <c r="G52" s="79">
        <f t="shared" si="14"/>
        <v>0.13440000000000002</v>
      </c>
      <c r="H52" s="78">
        <f t="shared" si="14"/>
        <v>0.13440000000000002</v>
      </c>
      <c r="I52" s="79">
        <f t="shared" si="14"/>
        <v>0.13440000000000002</v>
      </c>
      <c r="J52" s="78">
        <f t="shared" si="14"/>
        <v>0.13440000000000002</v>
      </c>
      <c r="K52" s="79">
        <f t="shared" si="14"/>
        <v>0.13440000000000002</v>
      </c>
      <c r="L52" s="78">
        <f t="shared" si="14"/>
        <v>0.13440000000000002</v>
      </c>
    </row>
    <row r="53" spans="2:12" ht="15">
      <c r="B53" s="69" t="s">
        <v>60</v>
      </c>
      <c r="C53" s="78">
        <f>C44*C52</f>
        <v>15.778560000000002</v>
      </c>
      <c r="D53" s="78">
        <f aca="true" t="shared" si="15" ref="D53:L53">D44*D52</f>
        <v>11.746560000000002</v>
      </c>
      <c r="E53" s="87">
        <f t="shared" si="15"/>
        <v>14.730240000000004</v>
      </c>
      <c r="F53" s="95">
        <f t="shared" si="15"/>
        <v>13.318368000000001</v>
      </c>
      <c r="G53" s="79">
        <f t="shared" si="15"/>
        <v>12.751200000000003</v>
      </c>
      <c r="H53" s="78">
        <f t="shared" si="15"/>
        <v>12.68064</v>
      </c>
      <c r="I53" s="79">
        <f t="shared" si="15"/>
        <v>16.478784</v>
      </c>
      <c r="J53" s="78">
        <f t="shared" si="15"/>
        <v>23.917824000000003</v>
      </c>
      <c r="K53" s="79">
        <f t="shared" si="15"/>
        <v>24.729600000000005</v>
      </c>
      <c r="L53" s="78">
        <f t="shared" si="15"/>
        <v>10.905216000000001</v>
      </c>
    </row>
    <row r="54" spans="2:12" ht="15">
      <c r="B54" s="69" t="s">
        <v>61</v>
      </c>
      <c r="C54" s="78">
        <f>C48</f>
        <v>6.2565</v>
      </c>
      <c r="D54" s="78">
        <f aca="true" t="shared" si="16" ref="D54:L54">D48</f>
        <v>4.976500000000001</v>
      </c>
      <c r="E54" s="87">
        <f t="shared" si="16"/>
        <v>1.0965000000000003</v>
      </c>
      <c r="F54" s="95">
        <f t="shared" si="16"/>
        <v>2.7365000000000004</v>
      </c>
      <c r="G54" s="79">
        <f t="shared" si="16"/>
        <v>3.4265</v>
      </c>
      <c r="H54" s="78">
        <f t="shared" si="16"/>
        <v>8.1265</v>
      </c>
      <c r="I54" s="79">
        <f t="shared" si="16"/>
        <v>8.0665</v>
      </c>
      <c r="J54" s="78">
        <f t="shared" si="16"/>
        <v>9.866499999999998</v>
      </c>
      <c r="K54" s="79">
        <f t="shared" si="16"/>
        <v>0.36</v>
      </c>
      <c r="L54" s="78">
        <f t="shared" si="16"/>
        <v>5.9965</v>
      </c>
    </row>
    <row r="55" spans="2:12" ht="15.75" thickBot="1">
      <c r="B55" s="74" t="s">
        <v>62</v>
      </c>
      <c r="C55" s="80">
        <f>C53+C54</f>
        <v>22.03506</v>
      </c>
      <c r="D55" s="80">
        <f aca="true" t="shared" si="17" ref="D55:L55">D53+D54</f>
        <v>16.723060000000004</v>
      </c>
      <c r="E55" s="90">
        <f t="shared" si="17"/>
        <v>15.826740000000004</v>
      </c>
      <c r="F55" s="96">
        <f t="shared" si="17"/>
        <v>16.054868000000003</v>
      </c>
      <c r="G55" s="81">
        <f t="shared" si="17"/>
        <v>16.1777</v>
      </c>
      <c r="H55" s="80">
        <f t="shared" si="17"/>
        <v>20.80714</v>
      </c>
      <c r="I55" s="81">
        <f t="shared" si="17"/>
        <v>24.545284000000002</v>
      </c>
      <c r="J55" s="80">
        <f t="shared" si="17"/>
        <v>33.784324</v>
      </c>
      <c r="K55" s="81">
        <f t="shared" si="17"/>
        <v>25.089600000000004</v>
      </c>
      <c r="L55" s="80">
        <f t="shared" si="17"/>
        <v>16.901716</v>
      </c>
    </row>
  </sheetData>
  <sheetProtection/>
  <mergeCells count="11">
    <mergeCell ref="AC2:AE2"/>
    <mergeCell ref="Z2:AB2"/>
    <mergeCell ref="W2:Y2"/>
    <mergeCell ref="T2:V2"/>
    <mergeCell ref="E2:G2"/>
    <mergeCell ref="B2:D2"/>
    <mergeCell ref="A2:A3"/>
    <mergeCell ref="Q2:S2"/>
    <mergeCell ref="N2:P2"/>
    <mergeCell ref="K2:M2"/>
    <mergeCell ref="H2:J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</dc:creator>
  <cp:keywords/>
  <dc:description/>
  <cp:lastModifiedBy>nss</cp:lastModifiedBy>
  <dcterms:created xsi:type="dcterms:W3CDTF">2009-06-02T11:56:55Z</dcterms:created>
  <dcterms:modified xsi:type="dcterms:W3CDTF">2009-09-06T11:15:49Z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